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350" yWindow="315" windowWidth="20730" windowHeight="11355" activeTab="3"/>
  </bookViews>
  <sheets>
    <sheet name="7PSourceSummary" sheetId="10" r:id="rId1"/>
    <sheet name="forRPM" sheetId="20" r:id="rId2"/>
    <sheet name="SC-New" sheetId="9" r:id="rId3"/>
    <sheet name="SC-NR" sheetId="17" r:id="rId4"/>
    <sheet name="accomplishments" sheetId="18" r:id="rId5"/>
    <sheet name="HVAC weighting" sheetId="16" r:id="rId6"/>
    <sheet name="M_Input_Out" sheetId="19" r:id="rId7"/>
    <sheet name="M_Input" sheetId="3" r:id="rId8"/>
    <sheet name="Segmented" sheetId="5" r:id="rId9"/>
    <sheet name="weighting" sheetId="14" r:id="rId10"/>
    <sheet name="Composite" sheetId="2" r:id="rId11"/>
    <sheet name="Raw" sheetId="1" r:id="rId12"/>
  </sheets>
  <externalReferences>
    <externalReference r:id="rId13"/>
    <externalReference r:id="rId14"/>
    <externalReference r:id="rId15"/>
  </externalReferences>
  <definedNames>
    <definedName name="_Key1" localSheetId="0" hidden="1">#REF!</definedName>
    <definedName name="_Key1" localSheetId="2" hidden="1">#REF!</definedName>
    <definedName name="_Key1" localSheetId="3" hidden="1">#REF!</definedName>
    <definedName name="_Key1" hidden="1">#REF!</definedName>
    <definedName name="_Order1" hidden="1">255</definedName>
    <definedName name="_Sort" localSheetId="0" hidden="1">#REF!</definedName>
    <definedName name="_Sort" localSheetId="2" hidden="1">#REF!</definedName>
    <definedName name="_Sort" localSheetId="3" hidden="1">#REF!</definedName>
    <definedName name="_Sort"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9" i="9"/>
  <c r="D8"/>
  <c r="D9" i="17"/>
  <c r="D8"/>
  <c r="C8"/>
  <c r="C8" i="9"/>
  <c r="C5" i="16" l="1"/>
  <c r="B5"/>
  <c r="C4"/>
  <c r="C6"/>
  <c r="B4"/>
  <c r="B6"/>
  <c r="V28" i="9"/>
  <c r="K28"/>
  <c r="X217" i="17"/>
  <c r="Y217"/>
  <c r="W217"/>
  <c r="V217"/>
  <c r="U217"/>
  <c r="T217"/>
  <c r="S217"/>
  <c r="R217"/>
  <c r="Q217"/>
  <c r="P217"/>
  <c r="O217"/>
  <c r="N217"/>
  <c r="M217"/>
  <c r="L217"/>
  <c r="K217"/>
  <c r="J217"/>
  <c r="I217"/>
  <c r="H217"/>
  <c r="G217"/>
  <c r="F217"/>
  <c r="A9" i="9"/>
  <c r="E14" i="20" s="1"/>
  <c r="A9" i="17"/>
  <c r="E46" i="20" s="1"/>
  <c r="J8" i="18"/>
  <c r="J6"/>
  <c r="J5"/>
  <c r="J9"/>
  <c r="J7"/>
  <c r="G12"/>
  <c r="G11"/>
  <c r="AQ42" i="20"/>
  <c r="AZ44"/>
  <c r="AQ46"/>
  <c r="AZ48"/>
  <c r="AQ50"/>
  <c r="I28"/>
  <c r="J28"/>
  <c r="F28"/>
  <c r="I29"/>
  <c r="J29"/>
  <c r="I30"/>
  <c r="J30"/>
  <c r="AV30"/>
  <c r="I31"/>
  <c r="J31"/>
  <c r="I32"/>
  <c r="J32"/>
  <c r="I33"/>
  <c r="J33"/>
  <c r="I34"/>
  <c r="J34"/>
  <c r="I35"/>
  <c r="J35"/>
  <c r="I36"/>
  <c r="J36"/>
  <c r="I37"/>
  <c r="J37"/>
  <c r="I38"/>
  <c r="J38"/>
  <c r="I39"/>
  <c r="J39"/>
  <c r="I40"/>
  <c r="J40"/>
  <c r="I41"/>
  <c r="J41"/>
  <c r="I42"/>
  <c r="J42"/>
  <c r="AM42"/>
  <c r="I43"/>
  <c r="J43"/>
  <c r="AV43"/>
  <c r="I44"/>
  <c r="J44"/>
  <c r="AQ44"/>
  <c r="I45"/>
  <c r="J45"/>
  <c r="AI45"/>
  <c r="I46"/>
  <c r="J46"/>
  <c r="AM46"/>
  <c r="I47"/>
  <c r="J47"/>
  <c r="AV47"/>
  <c r="I48"/>
  <c r="J48"/>
  <c r="AQ48"/>
  <c r="I49"/>
  <c r="J49"/>
  <c r="AI49"/>
  <c r="I50"/>
  <c r="J50"/>
  <c r="AM50"/>
  <c r="I27"/>
  <c r="B36"/>
  <c r="C36"/>
  <c r="A36" s="1"/>
  <c r="B37"/>
  <c r="C37"/>
  <c r="A37" s="1"/>
  <c r="B38"/>
  <c r="C38"/>
  <c r="A38" s="1"/>
  <c r="A39"/>
  <c r="B39"/>
  <c r="C39"/>
  <c r="B40"/>
  <c r="C40"/>
  <c r="A40" s="1"/>
  <c r="B41"/>
  <c r="C41"/>
  <c r="A41" s="1"/>
  <c r="B42"/>
  <c r="C42"/>
  <c r="A42" s="1"/>
  <c r="B43"/>
  <c r="C43"/>
  <c r="A43" s="1"/>
  <c r="B44"/>
  <c r="C44"/>
  <c r="A44" s="1"/>
  <c r="B45"/>
  <c r="C45"/>
  <c r="A45" s="1"/>
  <c r="B46"/>
  <c r="C46"/>
  <c r="A46" s="1"/>
  <c r="B47"/>
  <c r="C47"/>
  <c r="A47" s="1"/>
  <c r="B48"/>
  <c r="C48"/>
  <c r="A48" s="1"/>
  <c r="B49"/>
  <c r="C49"/>
  <c r="A49" s="1"/>
  <c r="B50"/>
  <c r="C50"/>
  <c r="A50" s="1"/>
  <c r="BD31"/>
  <c r="BD32"/>
  <c r="J27"/>
  <c r="AM27"/>
  <c r="I26"/>
  <c r="I25"/>
  <c r="I24"/>
  <c r="I23"/>
  <c r="I22"/>
  <c r="I21"/>
  <c r="I20"/>
  <c r="I19"/>
  <c r="I18"/>
  <c r="I17"/>
  <c r="I16"/>
  <c r="I15"/>
  <c r="I14"/>
  <c r="I13"/>
  <c r="I12"/>
  <c r="I11"/>
  <c r="I10"/>
  <c r="I9"/>
  <c r="I8"/>
  <c r="I7"/>
  <c r="I6"/>
  <c r="I5"/>
  <c r="I4"/>
  <c r="I3"/>
  <c r="AY26"/>
  <c r="J26"/>
  <c r="BA26"/>
  <c r="F26"/>
  <c r="C26"/>
  <c r="A26" s="1"/>
  <c r="B26"/>
  <c r="J25"/>
  <c r="AV25"/>
  <c r="C25"/>
  <c r="A25" s="1"/>
  <c r="B25"/>
  <c r="AW24"/>
  <c r="AN24"/>
  <c r="AF24"/>
  <c r="J24"/>
  <c r="BD24"/>
  <c r="C24"/>
  <c r="A24" s="1"/>
  <c r="B24"/>
  <c r="BD23"/>
  <c r="AX23"/>
  <c r="AT23"/>
  <c r="AS23"/>
  <c r="AM23"/>
  <c r="AI23"/>
  <c r="AG23"/>
  <c r="J23"/>
  <c r="BC23"/>
  <c r="F23"/>
  <c r="C23"/>
  <c r="A23" s="1"/>
  <c r="B23"/>
  <c r="J22"/>
  <c r="BA22"/>
  <c r="C22"/>
  <c r="A22" s="1"/>
  <c r="B22"/>
  <c r="J21"/>
  <c r="BB21"/>
  <c r="C21"/>
  <c r="A21" s="1"/>
  <c r="B21"/>
  <c r="BD20"/>
  <c r="AN20"/>
  <c r="AM20"/>
  <c r="AF20"/>
  <c r="J20"/>
  <c r="BC20"/>
  <c r="F20"/>
  <c r="C20"/>
  <c r="A20" s="1"/>
  <c r="B20"/>
  <c r="J19"/>
  <c r="BC19"/>
  <c r="F19"/>
  <c r="C19"/>
  <c r="B19"/>
  <c r="J18"/>
  <c r="BA18"/>
  <c r="F18"/>
  <c r="C18"/>
  <c r="A18" s="1"/>
  <c r="B18"/>
  <c r="J17"/>
  <c r="C17"/>
  <c r="B17"/>
  <c r="A17"/>
  <c r="AM16"/>
  <c r="J16"/>
  <c r="BC16"/>
  <c r="C16"/>
  <c r="A16" s="1"/>
  <c r="B16"/>
  <c r="J15"/>
  <c r="BC15"/>
  <c r="C15"/>
  <c r="A15" s="1"/>
  <c r="B15"/>
  <c r="J14"/>
  <c r="BA14"/>
  <c r="C14"/>
  <c r="A14" s="1"/>
  <c r="B14"/>
  <c r="J13"/>
  <c r="BB13"/>
  <c r="C13"/>
  <c r="A13" s="1"/>
  <c r="B13"/>
  <c r="B4"/>
  <c r="B5"/>
  <c r="B6"/>
  <c r="B7"/>
  <c r="B8"/>
  <c r="B9"/>
  <c r="B10"/>
  <c r="B11"/>
  <c r="B12"/>
  <c r="J4"/>
  <c r="J5"/>
  <c r="J6"/>
  <c r="F6"/>
  <c r="J7"/>
  <c r="BA7"/>
  <c r="J8"/>
  <c r="BD8"/>
  <c r="J9"/>
  <c r="AI9"/>
  <c r="J10"/>
  <c r="BD10"/>
  <c r="J11"/>
  <c r="BA11"/>
  <c r="C35"/>
  <c r="A35" s="1"/>
  <c r="B35"/>
  <c r="C34"/>
  <c r="A34" s="1"/>
  <c r="B34"/>
  <c r="C33"/>
  <c r="A33"/>
  <c r="B33"/>
  <c r="C32"/>
  <c r="B32"/>
  <c r="C31"/>
  <c r="A31" s="1"/>
  <c r="B31"/>
  <c r="C30"/>
  <c r="B30"/>
  <c r="C29"/>
  <c r="A29" s="1"/>
  <c r="B29"/>
  <c r="C28"/>
  <c r="A28" s="1"/>
  <c r="B28"/>
  <c r="C27"/>
  <c r="A27" s="1"/>
  <c r="B27"/>
  <c r="C12"/>
  <c r="C11"/>
  <c r="C10"/>
  <c r="A10" s="1"/>
  <c r="C9"/>
  <c r="A9" s="1"/>
  <c r="C8"/>
  <c r="A8" s="1"/>
  <c r="C7"/>
  <c r="A7" s="1"/>
  <c r="C6"/>
  <c r="A6" s="1"/>
  <c r="C5"/>
  <c r="C4"/>
  <c r="C3"/>
  <c r="A3" s="1"/>
  <c r="B3"/>
  <c r="J12"/>
  <c r="BD12"/>
  <c r="BB30"/>
  <c r="BB34"/>
  <c r="J3"/>
  <c r="AW3"/>
  <c r="AI35"/>
  <c r="AV34"/>
  <c r="AW33"/>
  <c r="AZ31"/>
  <c r="AV31"/>
  <c r="BB29"/>
  <c r="AF29"/>
  <c r="BC29"/>
  <c r="AT11"/>
  <c r="BC11"/>
  <c r="AM9"/>
  <c r="AN7"/>
  <c r="BD6"/>
  <c r="AQ5"/>
  <c r="F5"/>
  <c r="AD2"/>
  <c r="AC2"/>
  <c r="AB2"/>
  <c r="AA2"/>
  <c r="Z2"/>
  <c r="Y2"/>
  <c r="X2"/>
  <c r="W2"/>
  <c r="V2"/>
  <c r="U2"/>
  <c r="T2"/>
  <c r="S2"/>
  <c r="R2"/>
  <c r="Q2"/>
  <c r="P2"/>
  <c r="O2"/>
  <c r="N2"/>
  <c r="M2"/>
  <c r="L2"/>
  <c r="K2"/>
  <c r="AZ27"/>
  <c r="AQ27"/>
  <c r="F15"/>
  <c r="F16"/>
  <c r="BD16"/>
  <c r="AW20"/>
  <c r="F21"/>
  <c r="AN23"/>
  <c r="AZ23"/>
  <c r="AZ49"/>
  <c r="AI48"/>
  <c r="AZ45"/>
  <c r="AI44"/>
  <c r="A5"/>
  <c r="AK3"/>
  <c r="AN16"/>
  <c r="AI50"/>
  <c r="AI46"/>
  <c r="AI42"/>
  <c r="AZ50"/>
  <c r="AZ46"/>
  <c r="AZ42"/>
  <c r="BB17"/>
  <c r="AV17"/>
  <c r="AZ17"/>
  <c r="BB25"/>
  <c r="AZ25"/>
  <c r="AI25"/>
  <c r="BD25"/>
  <c r="AM25"/>
  <c r="AH49"/>
  <c r="AL49"/>
  <c r="AP49"/>
  <c r="AU49"/>
  <c r="AY49"/>
  <c r="BC49"/>
  <c r="F49"/>
  <c r="AG49"/>
  <c r="AK49"/>
  <c r="AO49"/>
  <c r="AT49"/>
  <c r="AX49"/>
  <c r="BB49"/>
  <c r="AF49"/>
  <c r="AJ49"/>
  <c r="AN49"/>
  <c r="AS49"/>
  <c r="AW49"/>
  <c r="BA49"/>
  <c r="AH45"/>
  <c r="AL45"/>
  <c r="AP45"/>
  <c r="AU45"/>
  <c r="AY45"/>
  <c r="BC45"/>
  <c r="F45"/>
  <c r="AG45"/>
  <c r="AK45"/>
  <c r="AO45"/>
  <c r="AT45"/>
  <c r="AX45"/>
  <c r="BB45"/>
  <c r="AF45"/>
  <c r="AJ45"/>
  <c r="AN45"/>
  <c r="AS45"/>
  <c r="AW45"/>
  <c r="BA45"/>
  <c r="AI41"/>
  <c r="AM41"/>
  <c r="AQ41"/>
  <c r="AV41"/>
  <c r="AZ41"/>
  <c r="BD41"/>
  <c r="AH41"/>
  <c r="AL41"/>
  <c r="AP41"/>
  <c r="AU41"/>
  <c r="AY41"/>
  <c r="BC41"/>
  <c r="F41"/>
  <c r="AG41"/>
  <c r="AK41"/>
  <c r="AO41"/>
  <c r="AT41"/>
  <c r="AX41"/>
  <c r="BB41"/>
  <c r="AF41"/>
  <c r="AJ41"/>
  <c r="AN41"/>
  <c r="AS41"/>
  <c r="AW41"/>
  <c r="BA41"/>
  <c r="AH48"/>
  <c r="AL48"/>
  <c r="AP48"/>
  <c r="AU48"/>
  <c r="AY48"/>
  <c r="BC48"/>
  <c r="F48"/>
  <c r="AG48"/>
  <c r="AK48"/>
  <c r="AO48"/>
  <c r="AT48"/>
  <c r="AX48"/>
  <c r="BB48"/>
  <c r="AF48"/>
  <c r="AJ48"/>
  <c r="AN48"/>
  <c r="AS48"/>
  <c r="AW48"/>
  <c r="BA48"/>
  <c r="AH44"/>
  <c r="AL44"/>
  <c r="AP44"/>
  <c r="AU44"/>
  <c r="AY44"/>
  <c r="BC44"/>
  <c r="F44"/>
  <c r="AG44"/>
  <c r="AK44"/>
  <c r="AO44"/>
  <c r="AT44"/>
  <c r="AX44"/>
  <c r="BB44"/>
  <c r="AF44"/>
  <c r="AJ44"/>
  <c r="AN44"/>
  <c r="AS44"/>
  <c r="AW44"/>
  <c r="BA44"/>
  <c r="AI40"/>
  <c r="AM40"/>
  <c r="AQ40"/>
  <c r="AV40"/>
  <c r="AZ40"/>
  <c r="BD40"/>
  <c r="AH40"/>
  <c r="AL40"/>
  <c r="AP40"/>
  <c r="AU40"/>
  <c r="AY40"/>
  <c r="BC40"/>
  <c r="F40"/>
  <c r="AG40"/>
  <c r="AK40"/>
  <c r="AO40"/>
  <c r="AT40"/>
  <c r="AX40"/>
  <c r="BB40"/>
  <c r="AF40"/>
  <c r="AJ40"/>
  <c r="AN40"/>
  <c r="AS40"/>
  <c r="AW40"/>
  <c r="BA40"/>
  <c r="AI37"/>
  <c r="AM37"/>
  <c r="AQ37"/>
  <c r="AV37"/>
  <c r="AZ37"/>
  <c r="BD37"/>
  <c r="AH37"/>
  <c r="AL37"/>
  <c r="AP37"/>
  <c r="AU37"/>
  <c r="AY37"/>
  <c r="BC37"/>
  <c r="F37"/>
  <c r="AG37"/>
  <c r="AK37"/>
  <c r="AO37"/>
  <c r="AT37"/>
  <c r="AX37"/>
  <c r="BB37"/>
  <c r="AF37"/>
  <c r="AJ37"/>
  <c r="AN37"/>
  <c r="AS37"/>
  <c r="AW37"/>
  <c r="BA37"/>
  <c r="BD35"/>
  <c r="AV35"/>
  <c r="AX33"/>
  <c r="AJ33"/>
  <c r="F33"/>
  <c r="AK29"/>
  <c r="AX29"/>
  <c r="AW29"/>
  <c r="AQ49"/>
  <c r="AQ47"/>
  <c r="AQ45"/>
  <c r="AQ43"/>
  <c r="AW12"/>
  <c r="A19"/>
  <c r="AM24"/>
  <c r="F25"/>
  <c r="BD50"/>
  <c r="AV49"/>
  <c r="BD48"/>
  <c r="AM48"/>
  <c r="BD46"/>
  <c r="AV45"/>
  <c r="BD44"/>
  <c r="AM44"/>
  <c r="BD42"/>
  <c r="AX4"/>
  <c r="AG4"/>
  <c r="AH47"/>
  <c r="AL47"/>
  <c r="AP47"/>
  <c r="AU47"/>
  <c r="AY47"/>
  <c r="BC47"/>
  <c r="F47"/>
  <c r="AG47"/>
  <c r="AK47"/>
  <c r="AO47"/>
  <c r="AT47"/>
  <c r="AX47"/>
  <c r="BB47"/>
  <c r="AF47"/>
  <c r="AJ47"/>
  <c r="AN47"/>
  <c r="AS47"/>
  <c r="AW47"/>
  <c r="BA47"/>
  <c r="AH43"/>
  <c r="AL43"/>
  <c r="AP43"/>
  <c r="AU43"/>
  <c r="AY43"/>
  <c r="BC43"/>
  <c r="F43"/>
  <c r="AG43"/>
  <c r="AK43"/>
  <c r="AO43"/>
  <c r="AT43"/>
  <c r="AX43"/>
  <c r="BB43"/>
  <c r="AF43"/>
  <c r="AJ43"/>
  <c r="AN43"/>
  <c r="AS43"/>
  <c r="AW43"/>
  <c r="BA43"/>
  <c r="AI39"/>
  <c r="AM39"/>
  <c r="AQ39"/>
  <c r="AV39"/>
  <c r="AZ39"/>
  <c r="BD39"/>
  <c r="AH39"/>
  <c r="AL39"/>
  <c r="AP39"/>
  <c r="AU39"/>
  <c r="AY39"/>
  <c r="BC39"/>
  <c r="F39"/>
  <c r="AG39"/>
  <c r="AK39"/>
  <c r="AO39"/>
  <c r="AT39"/>
  <c r="AX39"/>
  <c r="BB39"/>
  <c r="AF39"/>
  <c r="AJ39"/>
  <c r="AN39"/>
  <c r="AS39"/>
  <c r="AW39"/>
  <c r="BA39"/>
  <c r="AV5"/>
  <c r="BD5"/>
  <c r="BC24"/>
  <c r="AZ24"/>
  <c r="AQ24"/>
  <c r="AI24"/>
  <c r="BA24"/>
  <c r="AS24"/>
  <c r="AJ24"/>
  <c r="F24"/>
  <c r="AH50"/>
  <c r="AL50"/>
  <c r="AP50"/>
  <c r="AU50"/>
  <c r="AY50"/>
  <c r="BC50"/>
  <c r="F50"/>
  <c r="AG50"/>
  <c r="AK50"/>
  <c r="AO50"/>
  <c r="AT50"/>
  <c r="AX50"/>
  <c r="BB50"/>
  <c r="AF50"/>
  <c r="AJ50"/>
  <c r="AN50"/>
  <c r="AS50"/>
  <c r="AW50"/>
  <c r="BA50"/>
  <c r="AH46"/>
  <c r="AL46"/>
  <c r="AP46"/>
  <c r="AU46"/>
  <c r="AY46"/>
  <c r="BC46"/>
  <c r="F46"/>
  <c r="AG46"/>
  <c r="AK46"/>
  <c r="AO46"/>
  <c r="AT46"/>
  <c r="AX46"/>
  <c r="BB46"/>
  <c r="AF46"/>
  <c r="AJ46"/>
  <c r="AN46"/>
  <c r="AS46"/>
  <c r="AW46"/>
  <c r="BA46"/>
  <c r="AH42"/>
  <c r="AL42"/>
  <c r="AP42"/>
  <c r="AU42"/>
  <c r="AY42"/>
  <c r="BC42"/>
  <c r="F42"/>
  <c r="AG42"/>
  <c r="AK42"/>
  <c r="AO42"/>
  <c r="AT42"/>
  <c r="AX42"/>
  <c r="BB42"/>
  <c r="AF42"/>
  <c r="AJ42"/>
  <c r="AN42"/>
  <c r="AS42"/>
  <c r="AW42"/>
  <c r="BA42"/>
  <c r="AI38"/>
  <c r="AM38"/>
  <c r="AQ38"/>
  <c r="AV38"/>
  <c r="AZ38"/>
  <c r="BD38"/>
  <c r="AH38"/>
  <c r="AL38"/>
  <c r="AP38"/>
  <c r="AU38"/>
  <c r="AY38"/>
  <c r="BC38"/>
  <c r="F38"/>
  <c r="AG38"/>
  <c r="AK38"/>
  <c r="AO38"/>
  <c r="AT38"/>
  <c r="AX38"/>
  <c r="BB38"/>
  <c r="AF38"/>
  <c r="AJ38"/>
  <c r="AN38"/>
  <c r="AS38"/>
  <c r="AW38"/>
  <c r="BA38"/>
  <c r="AI36"/>
  <c r="AM36"/>
  <c r="AQ36"/>
  <c r="AV36"/>
  <c r="AZ36"/>
  <c r="BD36"/>
  <c r="AH36"/>
  <c r="AL36"/>
  <c r="AP36"/>
  <c r="AU36"/>
  <c r="AY36"/>
  <c r="BC36"/>
  <c r="F36"/>
  <c r="AG36"/>
  <c r="AK36"/>
  <c r="AO36"/>
  <c r="AT36"/>
  <c r="AX36"/>
  <c r="BB36"/>
  <c r="AF36"/>
  <c r="AJ36"/>
  <c r="AN36"/>
  <c r="AS36"/>
  <c r="AW36"/>
  <c r="BA36"/>
  <c r="AZ47"/>
  <c r="AI47"/>
  <c r="AZ43"/>
  <c r="AI43"/>
  <c r="AI17"/>
  <c r="AV24"/>
  <c r="AQ25"/>
  <c r="AV50"/>
  <c r="BD49"/>
  <c r="AM49"/>
  <c r="AV48"/>
  <c r="BD47"/>
  <c r="AM47"/>
  <c r="AV46"/>
  <c r="BD45"/>
  <c r="AM45"/>
  <c r="AV44"/>
  <c r="BD43"/>
  <c r="AM43"/>
  <c r="AV42"/>
  <c r="A30"/>
  <c r="AV13"/>
  <c r="AF16"/>
  <c r="AW16"/>
  <c r="AV20"/>
  <c r="AV21"/>
  <c r="AF23"/>
  <c r="AK23"/>
  <c r="AQ23"/>
  <c r="AW23"/>
  <c r="BB23"/>
  <c r="AV16"/>
  <c r="AJ23"/>
  <c r="AO23"/>
  <c r="AV23"/>
  <c r="BA23"/>
  <c r="AT29"/>
  <c r="AT33"/>
  <c r="AN29"/>
  <c r="AK33"/>
  <c r="BD28"/>
  <c r="AI19"/>
  <c r="AN19"/>
  <c r="AT19"/>
  <c r="AZ19"/>
  <c r="AG19"/>
  <c r="AM19"/>
  <c r="AS19"/>
  <c r="AX19"/>
  <c r="BD19"/>
  <c r="AM4"/>
  <c r="BA5"/>
  <c r="AF8"/>
  <c r="AZ9"/>
  <c r="BB12"/>
  <c r="BD27"/>
  <c r="BA30"/>
  <c r="BA34"/>
  <c r="AZ35"/>
  <c r="AQ9"/>
  <c r="A12"/>
  <c r="A32"/>
  <c r="A11"/>
  <c r="AI13"/>
  <c r="AZ13"/>
  <c r="AJ15"/>
  <c r="AO15"/>
  <c r="AV15"/>
  <c r="BA15"/>
  <c r="AI16"/>
  <c r="AQ16"/>
  <c r="AZ16"/>
  <c r="AM17"/>
  <c r="BD17"/>
  <c r="AJ19"/>
  <c r="AO19"/>
  <c r="AV19"/>
  <c r="BA19"/>
  <c r="AI20"/>
  <c r="AQ20"/>
  <c r="AZ20"/>
  <c r="AI21"/>
  <c r="AZ21"/>
  <c r="AH23"/>
  <c r="AL23"/>
  <c r="AP23"/>
  <c r="AU23"/>
  <c r="AY23"/>
  <c r="AG24"/>
  <c r="AK24"/>
  <c r="AO24"/>
  <c r="AT24"/>
  <c r="AX24"/>
  <c r="BB24"/>
  <c r="AF25"/>
  <c r="AJ25"/>
  <c r="AN25"/>
  <c r="AS25"/>
  <c r="AW25"/>
  <c r="BA25"/>
  <c r="AI26"/>
  <c r="AM26"/>
  <c r="AQ26"/>
  <c r="AV26"/>
  <c r="AZ26"/>
  <c r="BD26"/>
  <c r="AI15"/>
  <c r="AN15"/>
  <c r="AT15"/>
  <c r="AZ15"/>
  <c r="AH26"/>
  <c r="AL26"/>
  <c r="AP26"/>
  <c r="AU26"/>
  <c r="BC26"/>
  <c r="BB8"/>
  <c r="AQ12"/>
  <c r="AO30"/>
  <c r="AJ34"/>
  <c r="AQ13"/>
  <c r="AG15"/>
  <c r="AM15"/>
  <c r="AS15"/>
  <c r="AX15"/>
  <c r="BD15"/>
  <c r="AQ21"/>
  <c r="AH25"/>
  <c r="AL25"/>
  <c r="AP25"/>
  <c r="AU25"/>
  <c r="AY25"/>
  <c r="BC25"/>
  <c r="AG26"/>
  <c r="AK26"/>
  <c r="AO26"/>
  <c r="AT26"/>
  <c r="AX26"/>
  <c r="BB26"/>
  <c r="BD4"/>
  <c r="AM5"/>
  <c r="AW8"/>
  <c r="BD9"/>
  <c r="AF12"/>
  <c r="AI27"/>
  <c r="AI31"/>
  <c r="AM13"/>
  <c r="BD13"/>
  <c r="AF15"/>
  <c r="AK15"/>
  <c r="AQ15"/>
  <c r="AW15"/>
  <c r="BB15"/>
  <c r="AJ16"/>
  <c r="AS16"/>
  <c r="BA16"/>
  <c r="AQ17"/>
  <c r="AF19"/>
  <c r="AK19"/>
  <c r="AQ19"/>
  <c r="AW19"/>
  <c r="BB19"/>
  <c r="AJ20"/>
  <c r="AS20"/>
  <c r="BA20"/>
  <c r="AM21"/>
  <c r="BD21"/>
  <c r="AH24"/>
  <c r="AL24"/>
  <c r="AP24"/>
  <c r="AU24"/>
  <c r="AY24"/>
  <c r="AG25"/>
  <c r="AK25"/>
  <c r="AO25"/>
  <c r="AT25"/>
  <c r="AX25"/>
  <c r="AF26"/>
  <c r="AJ26"/>
  <c r="AN26"/>
  <c r="AS26"/>
  <c r="AW26"/>
  <c r="F14"/>
  <c r="AH14"/>
  <c r="AP14"/>
  <c r="AU14"/>
  <c r="AY14"/>
  <c r="BC14"/>
  <c r="AH18"/>
  <c r="AL18"/>
  <c r="AP18"/>
  <c r="AU18"/>
  <c r="AY18"/>
  <c r="BC18"/>
  <c r="AL22"/>
  <c r="AU22"/>
  <c r="AY22"/>
  <c r="AK7"/>
  <c r="AL13"/>
  <c r="AU13"/>
  <c r="AK14"/>
  <c r="AT14"/>
  <c r="AX14"/>
  <c r="BB14"/>
  <c r="F17"/>
  <c r="AH17"/>
  <c r="AL17"/>
  <c r="AU17"/>
  <c r="AY17"/>
  <c r="BC17"/>
  <c r="AG18"/>
  <c r="AK18"/>
  <c r="AO18"/>
  <c r="AT18"/>
  <c r="AX18"/>
  <c r="BB18"/>
  <c r="AX22"/>
  <c r="AF7"/>
  <c r="AW7"/>
  <c r="AQ8"/>
  <c r="AK11"/>
  <c r="BB11"/>
  <c r="F29"/>
  <c r="AJ29"/>
  <c r="AS29"/>
  <c r="BA29"/>
  <c r="AF33"/>
  <c r="AS33"/>
  <c r="BB33"/>
  <c r="AT3"/>
  <c r="AS4"/>
  <c r="BC7"/>
  <c r="AT7"/>
  <c r="AK8"/>
  <c r="AF11"/>
  <c r="AW11"/>
  <c r="AK12"/>
  <c r="AG29"/>
  <c r="AO29"/>
  <c r="AJ30"/>
  <c r="BC33"/>
  <c r="AN33"/>
  <c r="BA33"/>
  <c r="AO34"/>
  <c r="AZ4"/>
  <c r="AF13"/>
  <c r="AJ13"/>
  <c r="AN13"/>
  <c r="AS13"/>
  <c r="AW13"/>
  <c r="BA13"/>
  <c r="AI14"/>
  <c r="AM14"/>
  <c r="AQ14"/>
  <c r="AV14"/>
  <c r="AZ14"/>
  <c r="BD14"/>
  <c r="AH15"/>
  <c r="AL15"/>
  <c r="AP15"/>
  <c r="AU15"/>
  <c r="AY15"/>
  <c r="AG16"/>
  <c r="AK16"/>
  <c r="AO16"/>
  <c r="AT16"/>
  <c r="AX16"/>
  <c r="BB16"/>
  <c r="AF17"/>
  <c r="AJ17"/>
  <c r="AN17"/>
  <c r="AS17"/>
  <c r="AW17"/>
  <c r="BA17"/>
  <c r="AI18"/>
  <c r="AM18"/>
  <c r="AQ18"/>
  <c r="AV18"/>
  <c r="AZ18"/>
  <c r="BD18"/>
  <c r="AH19"/>
  <c r="AL19"/>
  <c r="AP19"/>
  <c r="AU19"/>
  <c r="AY19"/>
  <c r="AG20"/>
  <c r="AK20"/>
  <c r="AO20"/>
  <c r="AT20"/>
  <c r="AX20"/>
  <c r="BB20"/>
  <c r="AF21"/>
  <c r="AJ21"/>
  <c r="AN21"/>
  <c r="AS21"/>
  <c r="AW21"/>
  <c r="BA21"/>
  <c r="AI22"/>
  <c r="AM22"/>
  <c r="AQ22"/>
  <c r="AV22"/>
  <c r="AZ22"/>
  <c r="BD22"/>
  <c r="AL14"/>
  <c r="F22"/>
  <c r="AH22"/>
  <c r="AP22"/>
  <c r="BC22"/>
  <c r="BB7"/>
  <c r="AN11"/>
  <c r="A4"/>
  <c r="F13"/>
  <c r="AH13"/>
  <c r="AP13"/>
  <c r="AY13"/>
  <c r="BC13"/>
  <c r="AG14"/>
  <c r="AO14"/>
  <c r="AP17"/>
  <c r="AH21"/>
  <c r="AL21"/>
  <c r="AP21"/>
  <c r="AU21"/>
  <c r="AY21"/>
  <c r="BC21"/>
  <c r="AG22"/>
  <c r="AK22"/>
  <c r="AO22"/>
  <c r="AT22"/>
  <c r="BB22"/>
  <c r="BB3"/>
  <c r="AG13"/>
  <c r="AK13"/>
  <c r="AO13"/>
  <c r="AT13"/>
  <c r="AX13"/>
  <c r="AF14"/>
  <c r="AJ14"/>
  <c r="AN14"/>
  <c r="AS14"/>
  <c r="AW14"/>
  <c r="AH16"/>
  <c r="AL16"/>
  <c r="AP16"/>
  <c r="AU16"/>
  <c r="AY16"/>
  <c r="AG17"/>
  <c r="AK17"/>
  <c r="AO17"/>
  <c r="AT17"/>
  <c r="AX17"/>
  <c r="AF18"/>
  <c r="AJ18"/>
  <c r="AN18"/>
  <c r="AS18"/>
  <c r="AW18"/>
  <c r="AH20"/>
  <c r="AL20"/>
  <c r="AP20"/>
  <c r="AU20"/>
  <c r="AY20"/>
  <c r="AG21"/>
  <c r="AK21"/>
  <c r="AO21"/>
  <c r="AT21"/>
  <c r="AX21"/>
  <c r="AF22"/>
  <c r="AJ22"/>
  <c r="AN22"/>
  <c r="AS22"/>
  <c r="AW22"/>
  <c r="AG7"/>
  <c r="AO7"/>
  <c r="AX7"/>
  <c r="AG11"/>
  <c r="AO11"/>
  <c r="AX11"/>
  <c r="F7"/>
  <c r="AJ7"/>
  <c r="AS7"/>
  <c r="F11"/>
  <c r="AJ11"/>
  <c r="AS11"/>
  <c r="AF4"/>
  <c r="AK4"/>
  <c r="AQ4"/>
  <c r="AW4"/>
  <c r="BB4"/>
  <c r="F30"/>
  <c r="AI30"/>
  <c r="AN30"/>
  <c r="AT30"/>
  <c r="AZ30"/>
  <c r="AJ4"/>
  <c r="AO4"/>
  <c r="AV4"/>
  <c r="BA4"/>
  <c r="AI5"/>
  <c r="AZ5"/>
  <c r="F8"/>
  <c r="BC8"/>
  <c r="AI8"/>
  <c r="AN8"/>
  <c r="AT8"/>
  <c r="AZ8"/>
  <c r="AV9"/>
  <c r="F12"/>
  <c r="BC12"/>
  <c r="AI12"/>
  <c r="AN12"/>
  <c r="AT12"/>
  <c r="AZ12"/>
  <c r="AV27"/>
  <c r="AG30"/>
  <c r="AM30"/>
  <c r="AS30"/>
  <c r="AX30"/>
  <c r="BD30"/>
  <c r="F31"/>
  <c r="BA31"/>
  <c r="AQ31"/>
  <c r="AG33"/>
  <c r="AO33"/>
  <c r="AG34"/>
  <c r="AM34"/>
  <c r="AS34"/>
  <c r="AX34"/>
  <c r="BD34"/>
  <c r="F35"/>
  <c r="BA35"/>
  <c r="AQ35"/>
  <c r="AJ8"/>
  <c r="AO8"/>
  <c r="AV8"/>
  <c r="BA8"/>
  <c r="AJ12"/>
  <c r="AO12"/>
  <c r="AV12"/>
  <c r="BA12"/>
  <c r="BC30"/>
  <c r="F34"/>
  <c r="BC34"/>
  <c r="AI34"/>
  <c r="AN34"/>
  <c r="AT34"/>
  <c r="AZ34"/>
  <c r="F4"/>
  <c r="BC4"/>
  <c r="AI4"/>
  <c r="AN4"/>
  <c r="AT4"/>
  <c r="AG8"/>
  <c r="AM8"/>
  <c r="AS8"/>
  <c r="AX8"/>
  <c r="F9"/>
  <c r="BA9"/>
  <c r="AG12"/>
  <c r="AM12"/>
  <c r="AS12"/>
  <c r="AX12"/>
  <c r="F27"/>
  <c r="BA27"/>
  <c r="AF30"/>
  <c r="AK30"/>
  <c r="AQ30"/>
  <c r="AW30"/>
  <c r="AM31"/>
  <c r="AF34"/>
  <c r="AK34"/>
  <c r="AQ34"/>
  <c r="AW34"/>
  <c r="AM35"/>
  <c r="BC3"/>
  <c r="AS3"/>
  <c r="AG3"/>
  <c r="AO3"/>
  <c r="AX3"/>
  <c r="F3"/>
  <c r="AJ3"/>
  <c r="BA3"/>
  <c r="AF3"/>
  <c r="AN3"/>
  <c r="AH6"/>
  <c r="AL6"/>
  <c r="AP6"/>
  <c r="AU6"/>
  <c r="AY6"/>
  <c r="BC6"/>
  <c r="F10"/>
  <c r="AH10"/>
  <c r="AP10"/>
  <c r="AY10"/>
  <c r="BC10"/>
  <c r="AH28"/>
  <c r="AL28"/>
  <c r="AP28"/>
  <c r="AU28"/>
  <c r="AY28"/>
  <c r="BC28"/>
  <c r="AY32"/>
  <c r="AH5"/>
  <c r="AL5"/>
  <c r="AP5"/>
  <c r="AU5"/>
  <c r="AY5"/>
  <c r="BC5"/>
  <c r="AG6"/>
  <c r="AK6"/>
  <c r="AO6"/>
  <c r="AT6"/>
  <c r="AX6"/>
  <c r="BB6"/>
  <c r="AH27"/>
  <c r="AL27"/>
  <c r="AP27"/>
  <c r="AU27"/>
  <c r="AY27"/>
  <c r="BC27"/>
  <c r="AG28"/>
  <c r="AK28"/>
  <c r="AO28"/>
  <c r="AT28"/>
  <c r="AX28"/>
  <c r="BB28"/>
  <c r="AH31"/>
  <c r="AL31"/>
  <c r="AP31"/>
  <c r="AU31"/>
  <c r="AY31"/>
  <c r="BC31"/>
  <c r="AG32"/>
  <c r="AK32"/>
  <c r="AO32"/>
  <c r="AT32"/>
  <c r="AX32"/>
  <c r="BB32"/>
  <c r="AH35"/>
  <c r="AL35"/>
  <c r="AP35"/>
  <c r="AU35"/>
  <c r="AY35"/>
  <c r="BC35"/>
  <c r="AI3"/>
  <c r="AM3"/>
  <c r="AQ3"/>
  <c r="AV3"/>
  <c r="AZ3"/>
  <c r="BD3"/>
  <c r="AH4"/>
  <c r="AL4"/>
  <c r="AP4"/>
  <c r="AU4"/>
  <c r="AY4"/>
  <c r="AG5"/>
  <c r="AK5"/>
  <c r="AO5"/>
  <c r="AT5"/>
  <c r="AX5"/>
  <c r="BB5"/>
  <c r="AF6"/>
  <c r="AJ6"/>
  <c r="AN6"/>
  <c r="AS6"/>
  <c r="AW6"/>
  <c r="BA6"/>
  <c r="AI7"/>
  <c r="AM7"/>
  <c r="AQ7"/>
  <c r="AV7"/>
  <c r="AZ7"/>
  <c r="BD7"/>
  <c r="AH8"/>
  <c r="AL8"/>
  <c r="AP8"/>
  <c r="AU8"/>
  <c r="AY8"/>
  <c r="AG9"/>
  <c r="AK9"/>
  <c r="AO9"/>
  <c r="AT9"/>
  <c r="AX9"/>
  <c r="BB9"/>
  <c r="AF10"/>
  <c r="AJ10"/>
  <c r="AN10"/>
  <c r="AS10"/>
  <c r="AW10"/>
  <c r="BA10"/>
  <c r="AI11"/>
  <c r="AM11"/>
  <c r="AQ11"/>
  <c r="AV11"/>
  <c r="AZ11"/>
  <c r="BD11"/>
  <c r="AH12"/>
  <c r="AL12"/>
  <c r="AP12"/>
  <c r="AU12"/>
  <c r="AY12"/>
  <c r="AG27"/>
  <c r="AK27"/>
  <c r="AO27"/>
  <c r="AT27"/>
  <c r="AX27"/>
  <c r="BB27"/>
  <c r="AF28"/>
  <c r="AJ28"/>
  <c r="AN28"/>
  <c r="AS28"/>
  <c r="AW28"/>
  <c r="BA28"/>
  <c r="AI29"/>
  <c r="AM29"/>
  <c r="AQ29"/>
  <c r="AV29"/>
  <c r="AZ29"/>
  <c r="BD29"/>
  <c r="AH30"/>
  <c r="AL30"/>
  <c r="AP30"/>
  <c r="AU30"/>
  <c r="AY30"/>
  <c r="AG31"/>
  <c r="AK31"/>
  <c r="AO31"/>
  <c r="AT31"/>
  <c r="AX31"/>
  <c r="BB31"/>
  <c r="AF32"/>
  <c r="AJ32"/>
  <c r="AN32"/>
  <c r="AS32"/>
  <c r="AW32"/>
  <c r="BA32"/>
  <c r="AI33"/>
  <c r="AM33"/>
  <c r="AQ33"/>
  <c r="AV33"/>
  <c r="AZ33"/>
  <c r="BD33"/>
  <c r="AH34"/>
  <c r="AL34"/>
  <c r="AP34"/>
  <c r="AU34"/>
  <c r="AY34"/>
  <c r="AG35"/>
  <c r="AK35"/>
  <c r="AO35"/>
  <c r="AT35"/>
  <c r="AX35"/>
  <c r="BB35"/>
  <c r="AL10"/>
  <c r="AU10"/>
  <c r="F32"/>
  <c r="AH32"/>
  <c r="AL32"/>
  <c r="AP32"/>
  <c r="AU32"/>
  <c r="BC32"/>
  <c r="AH9"/>
  <c r="AL9"/>
  <c r="AP9"/>
  <c r="AU9"/>
  <c r="AY9"/>
  <c r="BC9"/>
  <c r="AG10"/>
  <c r="AK10"/>
  <c r="AO10"/>
  <c r="AT10"/>
  <c r="AX10"/>
  <c r="BB10"/>
  <c r="AH3"/>
  <c r="AL3"/>
  <c r="AP3"/>
  <c r="AU3"/>
  <c r="AY3"/>
  <c r="AF5"/>
  <c r="AJ5"/>
  <c r="AN5"/>
  <c r="AS5"/>
  <c r="AW5"/>
  <c r="AI6"/>
  <c r="AM6"/>
  <c r="AQ6"/>
  <c r="AV6"/>
  <c r="AZ6"/>
  <c r="AH7"/>
  <c r="AL7"/>
  <c r="AP7"/>
  <c r="AU7"/>
  <c r="AY7"/>
  <c r="AF9"/>
  <c r="AJ9"/>
  <c r="AN9"/>
  <c r="AS9"/>
  <c r="AW9"/>
  <c r="AI10"/>
  <c r="AM10"/>
  <c r="AQ10"/>
  <c r="AV10"/>
  <c r="AZ10"/>
  <c r="AH11"/>
  <c r="AL11"/>
  <c r="AP11"/>
  <c r="AU11"/>
  <c r="AY11"/>
  <c r="AF27"/>
  <c r="AJ27"/>
  <c r="AN27"/>
  <c r="AS27"/>
  <c r="AW27"/>
  <c r="AI28"/>
  <c r="AM28"/>
  <c r="AQ28"/>
  <c r="AV28"/>
  <c r="AZ28"/>
  <c r="AH29"/>
  <c r="AL29"/>
  <c r="AP29"/>
  <c r="AU29"/>
  <c r="AY29"/>
  <c r="AF31"/>
  <c r="AJ31"/>
  <c r="AN31"/>
  <c r="AS31"/>
  <c r="AW31"/>
  <c r="AI32"/>
  <c r="AM32"/>
  <c r="AQ32"/>
  <c r="AV32"/>
  <c r="AZ32"/>
  <c r="AH33"/>
  <c r="AL33"/>
  <c r="AP33"/>
  <c r="AU33"/>
  <c r="AY33"/>
  <c r="AF35"/>
  <c r="AJ35"/>
  <c r="AN35"/>
  <c r="AS35"/>
  <c r="AW35"/>
  <c r="X173" i="17"/>
  <c r="W173"/>
  <c r="V173"/>
  <c r="U173"/>
  <c r="T173"/>
  <c r="S173"/>
  <c r="R173"/>
  <c r="Q173"/>
  <c r="P173"/>
  <c r="O173"/>
  <c r="N173"/>
  <c r="M173"/>
  <c r="L173"/>
  <c r="K173"/>
  <c r="J173"/>
  <c r="I173"/>
  <c r="H173"/>
  <c r="G173"/>
  <c r="F173"/>
  <c r="E173"/>
  <c r="X134"/>
  <c r="W134"/>
  <c r="V134"/>
  <c r="U134"/>
  <c r="T134"/>
  <c r="S134"/>
  <c r="R134"/>
  <c r="Q134"/>
  <c r="P134"/>
  <c r="O134"/>
  <c r="N134"/>
  <c r="M134"/>
  <c r="L134"/>
  <c r="K134"/>
  <c r="J134"/>
  <c r="I134"/>
  <c r="H134"/>
  <c r="G134"/>
  <c r="F134"/>
  <c r="E134"/>
  <c r="X97"/>
  <c r="W97"/>
  <c r="V97"/>
  <c r="U97"/>
  <c r="T97"/>
  <c r="S97"/>
  <c r="R97"/>
  <c r="Q97"/>
  <c r="P97"/>
  <c r="O97"/>
  <c r="N97"/>
  <c r="M97"/>
  <c r="L97"/>
  <c r="K97"/>
  <c r="J97"/>
  <c r="I97"/>
  <c r="H97"/>
  <c r="G97"/>
  <c r="F97"/>
  <c r="E97"/>
  <c r="X66"/>
  <c r="W66"/>
  <c r="V66"/>
  <c r="U66"/>
  <c r="T66"/>
  <c r="S66"/>
  <c r="R66"/>
  <c r="Q66"/>
  <c r="P66"/>
  <c r="O66"/>
  <c r="N66"/>
  <c r="M66"/>
  <c r="L66"/>
  <c r="K66"/>
  <c r="J66"/>
  <c r="I66"/>
  <c r="H66"/>
  <c r="G66"/>
  <c r="F66"/>
  <c r="E66"/>
  <c r="X37" i="9"/>
  <c r="W37"/>
  <c r="V37"/>
  <c r="U37"/>
  <c r="T37"/>
  <c r="S37"/>
  <c r="R37"/>
  <c r="Q37"/>
  <c r="P37"/>
  <c r="O37"/>
  <c r="N37"/>
  <c r="M37"/>
  <c r="L37"/>
  <c r="K37"/>
  <c r="J37"/>
  <c r="I37"/>
  <c r="H37"/>
  <c r="G37"/>
  <c r="F37"/>
  <c r="E37"/>
  <c r="X68"/>
  <c r="W68"/>
  <c r="V68"/>
  <c r="U68"/>
  <c r="T68"/>
  <c r="S68"/>
  <c r="R68"/>
  <c r="Q68"/>
  <c r="P68"/>
  <c r="O68"/>
  <c r="N68"/>
  <c r="M68"/>
  <c r="L68"/>
  <c r="K68"/>
  <c r="J68"/>
  <c r="I68"/>
  <c r="H68"/>
  <c r="G68"/>
  <c r="F68"/>
  <c r="E68"/>
  <c r="X105"/>
  <c r="W105"/>
  <c r="V105"/>
  <c r="U105"/>
  <c r="T105"/>
  <c r="S105"/>
  <c r="R105"/>
  <c r="Q105"/>
  <c r="P105"/>
  <c r="O105"/>
  <c r="N105"/>
  <c r="M105"/>
  <c r="L105"/>
  <c r="K105"/>
  <c r="J105"/>
  <c r="I105"/>
  <c r="H105"/>
  <c r="G105"/>
  <c r="F105"/>
  <c r="E105"/>
  <c r="B61"/>
  <c r="H26" i="20" s="1"/>
  <c r="A59" i="9"/>
  <c r="G24" i="20" s="1"/>
  <c r="A58" i="9"/>
  <c r="G23" i="20" s="1"/>
  <c r="A56" i="9"/>
  <c r="G21" i="20" s="1"/>
  <c r="A61" i="9"/>
  <c r="G26" i="20" s="1"/>
  <c r="B56" i="9"/>
  <c r="H21" i="20" s="1"/>
  <c r="B58" i="9"/>
  <c r="H23" i="20" s="1"/>
  <c r="B59" i="9"/>
  <c r="H24" i="20" s="1"/>
  <c r="C59" i="9"/>
  <c r="A85" i="17"/>
  <c r="G45" i="20" s="1"/>
  <c r="B86" i="17"/>
  <c r="H46" i="20" s="1"/>
  <c r="B87" i="17"/>
  <c r="H47" i="20"/>
  <c r="C88" i="17"/>
  <c r="B89"/>
  <c r="H49" i="20" s="1"/>
  <c r="A90" i="17"/>
  <c r="G50" i="20" s="1"/>
  <c r="C58" i="9"/>
  <c r="A60"/>
  <c r="G25" i="20" s="1"/>
  <c r="C60" i="9"/>
  <c r="B60"/>
  <c r="H25" i="20" s="1"/>
  <c r="B88" i="17"/>
  <c r="H48" i="20" s="1"/>
  <c r="A88" i="17"/>
  <c r="G48" i="20" s="1"/>
  <c r="B90" i="17"/>
  <c r="H50" i="20" s="1"/>
  <c r="C90" i="17"/>
  <c r="B57" i="9"/>
  <c r="H22" i="20"/>
  <c r="A57" i="9"/>
  <c r="G22" i="20" s="1"/>
  <c r="C86" i="17"/>
  <c r="A86"/>
  <c r="G46" i="20" s="1"/>
  <c r="C57" i="9"/>
  <c r="C61"/>
  <c r="C56"/>
  <c r="B85" i="17"/>
  <c r="H45" i="20" s="1"/>
  <c r="C89" i="17"/>
  <c r="C87"/>
  <c r="C85"/>
  <c r="A89"/>
  <c r="G49" i="20" s="1"/>
  <c r="A87" i="17"/>
  <c r="G47" i="20" s="1"/>
  <c r="I88" i="2"/>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88"/>
  <c r="C55" i="9"/>
  <c r="C54"/>
  <c r="C53"/>
  <c r="C52"/>
  <c r="C51"/>
  <c r="C50"/>
  <c r="C49"/>
  <c r="C48"/>
  <c r="C47"/>
  <c r="C46"/>
  <c r="C45"/>
  <c r="C44"/>
  <c r="C43"/>
  <c r="C42"/>
  <c r="C41"/>
  <c r="C40"/>
  <c r="C39"/>
  <c r="C38"/>
  <c r="G24" i="16"/>
  <c r="G17"/>
  <c r="G18"/>
  <c r="B84" i="17"/>
  <c r="H44" i="20" s="1"/>
  <c r="A54" i="9"/>
  <c r="G19" i="20" s="1"/>
  <c r="A55" i="9"/>
  <c r="G20" i="20" s="1"/>
  <c r="A83" i="17"/>
  <c r="G43" i="20" s="1"/>
  <c r="C83" i="17"/>
  <c r="A84"/>
  <c r="G44" i="20" s="1"/>
  <c r="C84" i="17"/>
  <c r="B54" i="9"/>
  <c r="H19" i="20" s="1"/>
  <c r="B83" i="17"/>
  <c r="H43" i="20" s="1"/>
  <c r="B55" i="9"/>
  <c r="H20" i="20" s="1"/>
  <c r="A9" i="3"/>
  <c r="A10"/>
  <c r="A26"/>
  <c r="A27"/>
  <c r="A28"/>
  <c r="A44"/>
  <c r="A45"/>
  <c r="A46"/>
  <c r="A349" i="5"/>
  <c r="A350"/>
  <c r="A348"/>
  <c r="A272"/>
  <c r="A273"/>
  <c r="A271"/>
  <c r="A269"/>
  <c r="A270"/>
  <c r="A268"/>
  <c r="A399"/>
  <c r="A400"/>
  <c r="A401"/>
  <c r="A395"/>
  <c r="A396"/>
  <c r="A397"/>
  <c r="A398"/>
  <c r="A390"/>
  <c r="A391"/>
  <c r="A392"/>
  <c r="A393"/>
  <c r="A394"/>
  <c r="A384"/>
  <c r="A385"/>
  <c r="A386"/>
  <c r="A387"/>
  <c r="A388"/>
  <c r="A389"/>
  <c r="B22" i="9"/>
  <c r="D173" i="17"/>
  <c r="A172" s="1"/>
  <c r="D134"/>
  <c r="X133"/>
  <c r="X172"/>
  <c r="W133"/>
  <c r="W172"/>
  <c r="V133"/>
  <c r="V172"/>
  <c r="U133"/>
  <c r="U172"/>
  <c r="T133"/>
  <c r="T172"/>
  <c r="S133"/>
  <c r="S172"/>
  <c r="R133"/>
  <c r="R172"/>
  <c r="Q133"/>
  <c r="Q172"/>
  <c r="P133"/>
  <c r="P172"/>
  <c r="O133"/>
  <c r="O172"/>
  <c r="N133"/>
  <c r="N172"/>
  <c r="M133"/>
  <c r="M172"/>
  <c r="L133"/>
  <c r="L172"/>
  <c r="K133"/>
  <c r="K172"/>
  <c r="J133"/>
  <c r="J172"/>
  <c r="I133"/>
  <c r="I172"/>
  <c r="H133"/>
  <c r="H172"/>
  <c r="G133"/>
  <c r="G172"/>
  <c r="F133"/>
  <c r="F172"/>
  <c r="E133"/>
  <c r="E172"/>
  <c r="D133"/>
  <c r="X96"/>
  <c r="W96"/>
  <c r="V96"/>
  <c r="U96"/>
  <c r="T96"/>
  <c r="S96"/>
  <c r="R96"/>
  <c r="Q96"/>
  <c r="P96"/>
  <c r="O96"/>
  <c r="N96"/>
  <c r="M96"/>
  <c r="L96"/>
  <c r="K96"/>
  <c r="J96"/>
  <c r="I96"/>
  <c r="H96"/>
  <c r="G96"/>
  <c r="F96"/>
  <c r="E96"/>
  <c r="X65"/>
  <c r="W65"/>
  <c r="V65"/>
  <c r="U65"/>
  <c r="T65"/>
  <c r="S65"/>
  <c r="R65"/>
  <c r="Q65"/>
  <c r="P65"/>
  <c r="O65"/>
  <c r="N65"/>
  <c r="M65"/>
  <c r="L65"/>
  <c r="K65"/>
  <c r="J65"/>
  <c r="I65"/>
  <c r="H65"/>
  <c r="G65"/>
  <c r="F65"/>
  <c r="E65"/>
  <c r="D42"/>
  <c r="C43" s="1"/>
  <c r="D38"/>
  <c r="B38"/>
  <c r="D37"/>
  <c r="D36"/>
  <c r="A38" s="1"/>
  <c r="C30"/>
  <c r="C29"/>
  <c r="C22"/>
  <c r="D51"/>
  <c r="C21"/>
  <c r="D50"/>
  <c r="X12"/>
  <c r="W12"/>
  <c r="V12"/>
  <c r="U12"/>
  <c r="T12"/>
  <c r="S12"/>
  <c r="R12"/>
  <c r="Q12"/>
  <c r="P12"/>
  <c r="O12"/>
  <c r="N12"/>
  <c r="M12"/>
  <c r="L12"/>
  <c r="K12"/>
  <c r="J12"/>
  <c r="I12"/>
  <c r="H12"/>
  <c r="G12"/>
  <c r="F12"/>
  <c r="E12"/>
  <c r="C9"/>
  <c r="D43"/>
  <c r="B43"/>
  <c r="B37"/>
  <c r="D58"/>
  <c r="D57"/>
  <c r="D44"/>
  <c r="B44"/>
  <c r="C78"/>
  <c r="A383" i="5"/>
  <c r="A382"/>
  <c r="A381"/>
  <c r="A380"/>
  <c r="A379"/>
  <c r="A378"/>
  <c r="A377"/>
  <c r="A376"/>
  <c r="A375"/>
  <c r="A374"/>
  <c r="A373"/>
  <c r="A372"/>
  <c r="A371"/>
  <c r="A370"/>
  <c r="A369"/>
  <c r="A368"/>
  <c r="A367"/>
  <c r="A366"/>
  <c r="A365"/>
  <c r="A364"/>
  <c r="A363"/>
  <c r="A362"/>
  <c r="A361"/>
  <c r="A360"/>
  <c r="A359"/>
  <c r="A358"/>
  <c r="A357"/>
  <c r="A356"/>
  <c r="A355"/>
  <c r="C368"/>
  <c r="C367"/>
  <c r="C332"/>
  <c r="C331"/>
  <c r="A278"/>
  <c r="A279"/>
  <c r="A280"/>
  <c r="A281"/>
  <c r="A282"/>
  <c r="A283"/>
  <c r="A284"/>
  <c r="A285"/>
  <c r="A286"/>
  <c r="A287"/>
  <c r="A288"/>
  <c r="A253"/>
  <c r="A333"/>
  <c r="A254"/>
  <c r="A334"/>
  <c r="A255"/>
  <c r="A335"/>
  <c r="A256"/>
  <c r="A336"/>
  <c r="A257"/>
  <c r="A337"/>
  <c r="A258"/>
  <c r="A338"/>
  <c r="A259"/>
  <c r="A339"/>
  <c r="A260"/>
  <c r="A340"/>
  <c r="A261"/>
  <c r="A341"/>
  <c r="A262"/>
  <c r="A342"/>
  <c r="A263"/>
  <c r="A343"/>
  <c r="A264"/>
  <c r="A344"/>
  <c r="A265"/>
  <c r="A266"/>
  <c r="A267"/>
  <c r="A274"/>
  <c r="A351"/>
  <c r="A275"/>
  <c r="A352"/>
  <c r="A276"/>
  <c r="A353"/>
  <c r="A277"/>
  <c r="A354"/>
  <c r="C89" i="2"/>
  <c r="H89"/>
  <c r="J89"/>
  <c r="K89"/>
  <c r="L89"/>
  <c r="M89"/>
  <c r="N89"/>
  <c r="O89"/>
  <c r="P89"/>
  <c r="Q89"/>
  <c r="C90"/>
  <c r="H90"/>
  <c r="J90"/>
  <c r="K90"/>
  <c r="L90"/>
  <c r="M90"/>
  <c r="N90"/>
  <c r="O90"/>
  <c r="P90"/>
  <c r="Q90"/>
  <c r="C91"/>
  <c r="H91"/>
  <c r="J91"/>
  <c r="K91"/>
  <c r="L91"/>
  <c r="M91"/>
  <c r="N91"/>
  <c r="O91"/>
  <c r="P91"/>
  <c r="Q91"/>
  <c r="C92"/>
  <c r="H92"/>
  <c r="J92"/>
  <c r="K92"/>
  <c r="L92"/>
  <c r="M92"/>
  <c r="N92"/>
  <c r="O92"/>
  <c r="P92"/>
  <c r="Q92"/>
  <c r="C93"/>
  <c r="H93"/>
  <c r="J93"/>
  <c r="K93"/>
  <c r="L93"/>
  <c r="M93"/>
  <c r="N93"/>
  <c r="O93"/>
  <c r="P93"/>
  <c r="Q93"/>
  <c r="C94"/>
  <c r="H94"/>
  <c r="J94"/>
  <c r="K94"/>
  <c r="L94"/>
  <c r="M94"/>
  <c r="N94"/>
  <c r="O94"/>
  <c r="P94"/>
  <c r="Q94"/>
  <c r="C95"/>
  <c r="H95"/>
  <c r="J95"/>
  <c r="K95"/>
  <c r="L95"/>
  <c r="M95"/>
  <c r="N95"/>
  <c r="O95"/>
  <c r="P95"/>
  <c r="Q95"/>
  <c r="C96"/>
  <c r="H96"/>
  <c r="J96"/>
  <c r="K96"/>
  <c r="L96"/>
  <c r="M96"/>
  <c r="N96"/>
  <c r="O96"/>
  <c r="P96"/>
  <c r="Q96"/>
  <c r="C97"/>
  <c r="H97"/>
  <c r="J97"/>
  <c r="K97"/>
  <c r="L97"/>
  <c r="M97"/>
  <c r="N97"/>
  <c r="O97"/>
  <c r="P97"/>
  <c r="Q97"/>
  <c r="C98"/>
  <c r="H98"/>
  <c r="J98"/>
  <c r="K98"/>
  <c r="L98"/>
  <c r="M98"/>
  <c r="N98"/>
  <c r="O98"/>
  <c r="P98"/>
  <c r="Q98"/>
  <c r="C99"/>
  <c r="H99"/>
  <c r="J99"/>
  <c r="K99"/>
  <c r="L99"/>
  <c r="M99"/>
  <c r="N99"/>
  <c r="O99"/>
  <c r="P99"/>
  <c r="Q99"/>
  <c r="C100"/>
  <c r="H100"/>
  <c r="J100"/>
  <c r="K100"/>
  <c r="L100"/>
  <c r="M100"/>
  <c r="N100"/>
  <c r="O100"/>
  <c r="P100"/>
  <c r="Q100"/>
  <c r="C101"/>
  <c r="H101"/>
  <c r="J101"/>
  <c r="K101"/>
  <c r="L101"/>
  <c r="M101"/>
  <c r="N101"/>
  <c r="O101"/>
  <c r="P101"/>
  <c r="Q101"/>
  <c r="C102"/>
  <c r="H102"/>
  <c r="J102"/>
  <c r="K102"/>
  <c r="L102"/>
  <c r="M102"/>
  <c r="N102"/>
  <c r="O102"/>
  <c r="P102"/>
  <c r="Q102"/>
  <c r="C103"/>
  <c r="H103"/>
  <c r="J103"/>
  <c r="K103"/>
  <c r="L103"/>
  <c r="M103"/>
  <c r="N103"/>
  <c r="O103"/>
  <c r="P103"/>
  <c r="Q103"/>
  <c r="C104"/>
  <c r="H104"/>
  <c r="J104"/>
  <c r="K104"/>
  <c r="L104"/>
  <c r="M104"/>
  <c r="N104"/>
  <c r="O104"/>
  <c r="P104"/>
  <c r="Q104"/>
  <c r="C105"/>
  <c r="H105"/>
  <c r="J105"/>
  <c r="K105"/>
  <c r="L105"/>
  <c r="M105"/>
  <c r="N105"/>
  <c r="O105"/>
  <c r="P105"/>
  <c r="Q105"/>
  <c r="C106"/>
  <c r="H106"/>
  <c r="J106"/>
  <c r="K106"/>
  <c r="L106"/>
  <c r="M106"/>
  <c r="N106"/>
  <c r="O106"/>
  <c r="P106"/>
  <c r="Q106"/>
  <c r="C107"/>
  <c r="H107"/>
  <c r="J107"/>
  <c r="K107"/>
  <c r="L107"/>
  <c r="M107"/>
  <c r="N107"/>
  <c r="O107"/>
  <c r="P107"/>
  <c r="Q107"/>
  <c r="C108"/>
  <c r="H108"/>
  <c r="J108"/>
  <c r="K108"/>
  <c r="L108"/>
  <c r="M108"/>
  <c r="N108"/>
  <c r="O108"/>
  <c r="P108"/>
  <c r="Q108"/>
  <c r="C109"/>
  <c r="H109"/>
  <c r="J109"/>
  <c r="K109"/>
  <c r="L109"/>
  <c r="M109"/>
  <c r="N109"/>
  <c r="O109"/>
  <c r="P109"/>
  <c r="Q109"/>
  <c r="C110"/>
  <c r="H110"/>
  <c r="J110"/>
  <c r="K110"/>
  <c r="L110"/>
  <c r="M110"/>
  <c r="N110"/>
  <c r="O110"/>
  <c r="P110"/>
  <c r="Q110"/>
  <c r="C111"/>
  <c r="H111"/>
  <c r="J111"/>
  <c r="K111"/>
  <c r="L111"/>
  <c r="M111"/>
  <c r="N111"/>
  <c r="O111"/>
  <c r="P111"/>
  <c r="Q111"/>
  <c r="C112"/>
  <c r="H112"/>
  <c r="J112"/>
  <c r="K112"/>
  <c r="L112"/>
  <c r="M112"/>
  <c r="N112"/>
  <c r="O112"/>
  <c r="P112"/>
  <c r="Q112"/>
  <c r="C113"/>
  <c r="H113"/>
  <c r="J113"/>
  <c r="K113"/>
  <c r="L113"/>
  <c r="M113"/>
  <c r="N113"/>
  <c r="O113"/>
  <c r="P113"/>
  <c r="Q113"/>
  <c r="C114"/>
  <c r="H114"/>
  <c r="J114"/>
  <c r="K114"/>
  <c r="L114"/>
  <c r="M114"/>
  <c r="N114"/>
  <c r="O114"/>
  <c r="P114"/>
  <c r="Q114"/>
  <c r="C115"/>
  <c r="H115"/>
  <c r="J115"/>
  <c r="K115"/>
  <c r="L115"/>
  <c r="M115"/>
  <c r="N115"/>
  <c r="O115"/>
  <c r="P115"/>
  <c r="Q115"/>
  <c r="C116"/>
  <c r="H116"/>
  <c r="J116"/>
  <c r="K116"/>
  <c r="L116"/>
  <c r="M116"/>
  <c r="N116"/>
  <c r="O116"/>
  <c r="P116"/>
  <c r="Q116"/>
  <c r="C117"/>
  <c r="H117"/>
  <c r="J117"/>
  <c r="K117"/>
  <c r="L117"/>
  <c r="M117"/>
  <c r="N117"/>
  <c r="O117"/>
  <c r="P117"/>
  <c r="Q117"/>
  <c r="C118"/>
  <c r="H118"/>
  <c r="J118"/>
  <c r="K118"/>
  <c r="L118"/>
  <c r="M118"/>
  <c r="N118"/>
  <c r="O118"/>
  <c r="P118"/>
  <c r="Q118"/>
  <c r="C119"/>
  <c r="H119"/>
  <c r="J119"/>
  <c r="K119"/>
  <c r="L119"/>
  <c r="M119"/>
  <c r="N119"/>
  <c r="O119"/>
  <c r="P119"/>
  <c r="Q119"/>
  <c r="C120"/>
  <c r="H120"/>
  <c r="J120"/>
  <c r="K120"/>
  <c r="L120"/>
  <c r="M120"/>
  <c r="N120"/>
  <c r="O120"/>
  <c r="P120"/>
  <c r="Q120"/>
  <c r="C121"/>
  <c r="H121"/>
  <c r="J121"/>
  <c r="K121"/>
  <c r="L121"/>
  <c r="M121"/>
  <c r="N121"/>
  <c r="O121"/>
  <c r="P121"/>
  <c r="Q121"/>
  <c r="C122"/>
  <c r="H122"/>
  <c r="J122"/>
  <c r="K122"/>
  <c r="L122"/>
  <c r="M122"/>
  <c r="N122"/>
  <c r="O122"/>
  <c r="P122"/>
  <c r="Q122"/>
  <c r="C123"/>
  <c r="H123"/>
  <c r="J123"/>
  <c r="K123"/>
  <c r="L123"/>
  <c r="M123"/>
  <c r="N123"/>
  <c r="O123"/>
  <c r="P123"/>
  <c r="Q123"/>
  <c r="C124"/>
  <c r="H124"/>
  <c r="J124"/>
  <c r="K124"/>
  <c r="L124"/>
  <c r="M124"/>
  <c r="N124"/>
  <c r="O124"/>
  <c r="P124"/>
  <c r="Q124"/>
  <c r="C125"/>
  <c r="H125"/>
  <c r="J125"/>
  <c r="K125"/>
  <c r="L125"/>
  <c r="M125"/>
  <c r="N125"/>
  <c r="O125"/>
  <c r="P125"/>
  <c r="Q125"/>
  <c r="C126"/>
  <c r="H126"/>
  <c r="J126"/>
  <c r="K126"/>
  <c r="L126"/>
  <c r="M126"/>
  <c r="N126"/>
  <c r="O126"/>
  <c r="P126"/>
  <c r="Q126"/>
  <c r="C127"/>
  <c r="H127"/>
  <c r="J127"/>
  <c r="K127"/>
  <c r="L127"/>
  <c r="M127"/>
  <c r="N127"/>
  <c r="O127"/>
  <c r="P127"/>
  <c r="Q127"/>
  <c r="C128"/>
  <c r="H128"/>
  <c r="J128"/>
  <c r="K128"/>
  <c r="L128"/>
  <c r="M128"/>
  <c r="N128"/>
  <c r="O128"/>
  <c r="P128"/>
  <c r="Q128"/>
  <c r="C129"/>
  <c r="H129"/>
  <c r="J129"/>
  <c r="K129"/>
  <c r="L129"/>
  <c r="M129"/>
  <c r="N129"/>
  <c r="O129"/>
  <c r="P129"/>
  <c r="Q129"/>
  <c r="C130"/>
  <c r="H130"/>
  <c r="J130"/>
  <c r="K130"/>
  <c r="L130"/>
  <c r="M130"/>
  <c r="N130"/>
  <c r="O130"/>
  <c r="P130"/>
  <c r="Q130"/>
  <c r="C131"/>
  <c r="H131"/>
  <c r="J131"/>
  <c r="K131"/>
  <c r="L131"/>
  <c r="M131"/>
  <c r="N131"/>
  <c r="O131"/>
  <c r="P131"/>
  <c r="Q131"/>
  <c r="C132"/>
  <c r="H132"/>
  <c r="J132"/>
  <c r="K132"/>
  <c r="L132"/>
  <c r="M132"/>
  <c r="N132"/>
  <c r="O132"/>
  <c r="P132"/>
  <c r="Q132"/>
  <c r="P88"/>
  <c r="O88"/>
  <c r="N88"/>
  <c r="M88"/>
  <c r="L88"/>
  <c r="K88"/>
  <c r="J88"/>
  <c r="H88"/>
  <c r="A345" i="5"/>
  <c r="A346"/>
  <c r="A347"/>
  <c r="A248"/>
  <c r="A331"/>
  <c r="A249"/>
  <c r="A332"/>
  <c r="A250"/>
  <c r="A251"/>
  <c r="A252"/>
  <c r="A247"/>
  <c r="A330"/>
  <c r="A8" i="3"/>
  <c r="C12" i="14"/>
  <c r="C67" i="17"/>
  <c r="C4" i="14"/>
  <c r="A67" i="17"/>
  <c r="G27" i="20" s="1"/>
  <c r="B67" i="17"/>
  <c r="H27" i="20" s="1"/>
  <c r="A38" i="9"/>
  <c r="G3" i="20"/>
  <c r="B38" i="9"/>
  <c r="H3" i="20" s="1"/>
  <c r="P271" i="2"/>
  <c r="N250"/>
  <c r="L272"/>
  <c r="M231"/>
  <c r="K233"/>
  <c r="E235"/>
  <c r="H235"/>
  <c r="Q236"/>
  <c r="M239"/>
  <c r="K241"/>
  <c r="E243"/>
  <c r="H243"/>
  <c r="Q244"/>
  <c r="O247"/>
  <c r="Q248"/>
  <c r="O249"/>
  <c r="O250"/>
  <c r="Q251"/>
  <c r="E252"/>
  <c r="H252"/>
  <c r="M252"/>
  <c r="O253"/>
  <c r="Q253"/>
  <c r="K254"/>
  <c r="M255"/>
  <c r="O255"/>
  <c r="H256"/>
  <c r="M256"/>
  <c r="Q257"/>
  <c r="E259"/>
  <c r="H259"/>
  <c r="O259"/>
  <c r="H260"/>
  <c r="Q260"/>
  <c r="K261"/>
  <c r="Q261"/>
  <c r="H262"/>
  <c r="O263"/>
  <c r="Q264"/>
  <c r="O265"/>
  <c r="O266"/>
  <c r="Q267"/>
  <c r="E268"/>
  <c r="H268"/>
  <c r="M268"/>
  <c r="O269"/>
  <c r="Q269"/>
  <c r="K270"/>
  <c r="O270"/>
  <c r="H271"/>
  <c r="O271"/>
  <c r="E272"/>
  <c r="H272"/>
  <c r="M272"/>
  <c r="Q272"/>
  <c r="E273"/>
  <c r="Q273"/>
  <c r="F8"/>
  <c r="F149"/>
  <c r="F9"/>
  <c r="F150"/>
  <c r="F10"/>
  <c r="F151"/>
  <c r="F11"/>
  <c r="F152"/>
  <c r="F12"/>
  <c r="F153"/>
  <c r="F13"/>
  <c r="F154"/>
  <c r="F14"/>
  <c r="F155"/>
  <c r="F15"/>
  <c r="F156"/>
  <c r="F16"/>
  <c r="F157"/>
  <c r="G15" i="5"/>
  <c r="G250"/>
  <c r="F17" i="2"/>
  <c r="F158"/>
  <c r="G16" i="5"/>
  <c r="G251"/>
  <c r="F18" i="2"/>
  <c r="F159"/>
  <c r="G17" i="5"/>
  <c r="G252"/>
  <c r="F19" i="2"/>
  <c r="F160"/>
  <c r="G18" i="5"/>
  <c r="F20" i="2"/>
  <c r="F161"/>
  <c r="G19" i="5"/>
  <c r="F21" i="2"/>
  <c r="F162"/>
  <c r="G20" i="5"/>
  <c r="F22" i="2"/>
  <c r="F163"/>
  <c r="G21" i="5"/>
  <c r="F23" i="2"/>
  <c r="F164"/>
  <c r="G22" i="5"/>
  <c r="F24" i="2"/>
  <c r="F165"/>
  <c r="G23" i="5"/>
  <c r="F25" i="2"/>
  <c r="F166"/>
  <c r="F229"/>
  <c r="F26"/>
  <c r="F167"/>
  <c r="F27"/>
  <c r="F168"/>
  <c r="F28"/>
  <c r="F169"/>
  <c r="F29"/>
  <c r="F170"/>
  <c r="F30"/>
  <c r="F171"/>
  <c r="F31"/>
  <c r="F172"/>
  <c r="F32"/>
  <c r="F173"/>
  <c r="F33"/>
  <c r="F174"/>
  <c r="F34"/>
  <c r="F175"/>
  <c r="F35"/>
  <c r="F176"/>
  <c r="F36"/>
  <c r="F177"/>
  <c r="F37"/>
  <c r="F178"/>
  <c r="F241"/>
  <c r="F38"/>
  <c r="F179"/>
  <c r="F39"/>
  <c r="F180"/>
  <c r="F40"/>
  <c r="F181"/>
  <c r="F41"/>
  <c r="F182"/>
  <c r="F245"/>
  <c r="F42"/>
  <c r="F183"/>
  <c r="F43"/>
  <c r="F184"/>
  <c r="F44"/>
  <c r="F185"/>
  <c r="F45"/>
  <c r="F186"/>
  <c r="F249"/>
  <c r="F46"/>
  <c r="F187"/>
  <c r="F250"/>
  <c r="F47"/>
  <c r="F188"/>
  <c r="F48"/>
  <c r="F189"/>
  <c r="F49"/>
  <c r="F190"/>
  <c r="F50"/>
  <c r="F191"/>
  <c r="F51"/>
  <c r="F192"/>
  <c r="F52"/>
  <c r="F193"/>
  <c r="F53"/>
  <c r="F194"/>
  <c r="F257"/>
  <c r="F54"/>
  <c r="F195"/>
  <c r="F55"/>
  <c r="F196"/>
  <c r="F56"/>
  <c r="F197"/>
  <c r="F57"/>
  <c r="F198"/>
  <c r="F58"/>
  <c r="F199"/>
  <c r="F59"/>
  <c r="F200"/>
  <c r="F60"/>
  <c r="F201"/>
  <c r="F61"/>
  <c r="F202"/>
  <c r="F62"/>
  <c r="F203"/>
  <c r="F63"/>
  <c r="F204"/>
  <c r="F64"/>
  <c r="F205"/>
  <c r="F65"/>
  <c r="F206"/>
  <c r="F66"/>
  <c r="F207"/>
  <c r="F67"/>
  <c r="F208"/>
  <c r="F271"/>
  <c r="F68"/>
  <c r="F209"/>
  <c r="F69"/>
  <c r="F210"/>
  <c r="F70"/>
  <c r="F71"/>
  <c r="F72"/>
  <c r="F73"/>
  <c r="F74"/>
  <c r="F75"/>
  <c r="F76"/>
  <c r="F77"/>
  <c r="F78"/>
  <c r="F79"/>
  <c r="F80"/>
  <c r="F81"/>
  <c r="F82"/>
  <c r="F223"/>
  <c r="F83"/>
  <c r="F84"/>
  <c r="F85"/>
  <c r="F86"/>
  <c r="F87"/>
  <c r="F237"/>
  <c r="F239"/>
  <c r="F244"/>
  <c r="F251"/>
  <c r="F256"/>
  <c r="F7"/>
  <c r="F148"/>
  <c r="O273"/>
  <c r="M273"/>
  <c r="K273"/>
  <c r="H273"/>
  <c r="C273"/>
  <c r="B132"/>
  <c r="B273"/>
  <c r="O272"/>
  <c r="K272"/>
  <c r="C272"/>
  <c r="B131"/>
  <c r="A131"/>
  <c r="Q271"/>
  <c r="M271"/>
  <c r="K271"/>
  <c r="E271"/>
  <c r="C271"/>
  <c r="B130"/>
  <c r="A130"/>
  <c r="Q270"/>
  <c r="M270"/>
  <c r="H270"/>
  <c r="E270"/>
  <c r="C270"/>
  <c r="B129"/>
  <c r="B270"/>
  <c r="M269"/>
  <c r="K269"/>
  <c r="H269"/>
  <c r="E269"/>
  <c r="C269"/>
  <c r="B128"/>
  <c r="Q268"/>
  <c r="O268"/>
  <c r="K268"/>
  <c r="C268"/>
  <c r="B127"/>
  <c r="A127"/>
  <c r="O267"/>
  <c r="M267"/>
  <c r="K267"/>
  <c r="H267"/>
  <c r="E267"/>
  <c r="C267"/>
  <c r="B126"/>
  <c r="A126"/>
  <c r="Q266"/>
  <c r="M266"/>
  <c r="K266"/>
  <c r="H266"/>
  <c r="E266"/>
  <c r="C266"/>
  <c r="B125"/>
  <c r="B266"/>
  <c r="Q265"/>
  <c r="M265"/>
  <c r="K265"/>
  <c r="H265"/>
  <c r="E265"/>
  <c r="C265"/>
  <c r="B124"/>
  <c r="B265"/>
  <c r="O264"/>
  <c r="M264"/>
  <c r="K264"/>
  <c r="H264"/>
  <c r="E264"/>
  <c r="C264"/>
  <c r="B123"/>
  <c r="Q263"/>
  <c r="M263"/>
  <c r="K263"/>
  <c r="H263"/>
  <c r="E263"/>
  <c r="C263"/>
  <c r="B122"/>
  <c r="Q262"/>
  <c r="O262"/>
  <c r="M262"/>
  <c r="K262"/>
  <c r="E262"/>
  <c r="C262"/>
  <c r="B121"/>
  <c r="B262"/>
  <c r="O261"/>
  <c r="M261"/>
  <c r="H261"/>
  <c r="E261"/>
  <c r="C261"/>
  <c r="B120"/>
  <c r="B261"/>
  <c r="O260"/>
  <c r="M260"/>
  <c r="K260"/>
  <c r="E260"/>
  <c r="C260"/>
  <c r="B119"/>
  <c r="A119"/>
  <c r="Q259"/>
  <c r="M259"/>
  <c r="K259"/>
  <c r="C259"/>
  <c r="B118"/>
  <c r="B259"/>
  <c r="Q258"/>
  <c r="O258"/>
  <c r="M258"/>
  <c r="K258"/>
  <c r="H258"/>
  <c r="E258"/>
  <c r="C258"/>
  <c r="B117"/>
  <c r="B258"/>
  <c r="O257"/>
  <c r="M257"/>
  <c r="K257"/>
  <c r="H257"/>
  <c r="E257"/>
  <c r="C257"/>
  <c r="B116"/>
  <c r="B257"/>
  <c r="Q256"/>
  <c r="O256"/>
  <c r="K256"/>
  <c r="E256"/>
  <c r="D256"/>
  <c r="C256"/>
  <c r="B115"/>
  <c r="A115"/>
  <c r="Q255"/>
  <c r="K255"/>
  <c r="H255"/>
  <c r="E255"/>
  <c r="C255"/>
  <c r="B114"/>
  <c r="B255"/>
  <c r="Q254"/>
  <c r="O254"/>
  <c r="M254"/>
  <c r="H254"/>
  <c r="E254"/>
  <c r="C254"/>
  <c r="B113"/>
  <c r="B254"/>
  <c r="M253"/>
  <c r="K253"/>
  <c r="H253"/>
  <c r="E253"/>
  <c r="C253"/>
  <c r="B112"/>
  <c r="Q252"/>
  <c r="O252"/>
  <c r="K252"/>
  <c r="C252"/>
  <c r="B111"/>
  <c r="A111"/>
  <c r="O251"/>
  <c r="M251"/>
  <c r="K251"/>
  <c r="H251"/>
  <c r="E251"/>
  <c r="C251"/>
  <c r="B110"/>
  <c r="B251"/>
  <c r="Q250"/>
  <c r="M250"/>
  <c r="K250"/>
  <c r="H250"/>
  <c r="E250"/>
  <c r="C250"/>
  <c r="B109"/>
  <c r="A109"/>
  <c r="Q249"/>
  <c r="M249"/>
  <c r="K249"/>
  <c r="H249"/>
  <c r="E249"/>
  <c r="C249"/>
  <c r="B108"/>
  <c r="B249"/>
  <c r="O248"/>
  <c r="M248"/>
  <c r="K248"/>
  <c r="H248"/>
  <c r="E248"/>
  <c r="C248"/>
  <c r="B107"/>
  <c r="Q247"/>
  <c r="M247"/>
  <c r="K247"/>
  <c r="H247"/>
  <c r="E247"/>
  <c r="C247"/>
  <c r="B106"/>
  <c r="A106"/>
  <c r="Q246"/>
  <c r="O246"/>
  <c r="M246"/>
  <c r="K246"/>
  <c r="H246"/>
  <c r="E246"/>
  <c r="C246"/>
  <c r="B105"/>
  <c r="Q245"/>
  <c r="O245"/>
  <c r="M245"/>
  <c r="K245"/>
  <c r="H245"/>
  <c r="E245"/>
  <c r="C245"/>
  <c r="B104"/>
  <c r="O244"/>
  <c r="M244"/>
  <c r="K244"/>
  <c r="H244"/>
  <c r="E244"/>
  <c r="C244"/>
  <c r="B103"/>
  <c r="A103"/>
  <c r="Q243"/>
  <c r="O243"/>
  <c r="M243"/>
  <c r="K243"/>
  <c r="C243"/>
  <c r="B102"/>
  <c r="B243"/>
  <c r="Q242"/>
  <c r="O242"/>
  <c r="M242"/>
  <c r="K242"/>
  <c r="H242"/>
  <c r="E242"/>
  <c r="C242"/>
  <c r="B101"/>
  <c r="B242"/>
  <c r="Q241"/>
  <c r="O241"/>
  <c r="M241"/>
  <c r="H241"/>
  <c r="E241"/>
  <c r="C241"/>
  <c r="B100"/>
  <c r="B241"/>
  <c r="Q240"/>
  <c r="O240"/>
  <c r="M240"/>
  <c r="K240"/>
  <c r="H240"/>
  <c r="E240"/>
  <c r="C240"/>
  <c r="B99"/>
  <c r="A99"/>
  <c r="Q239"/>
  <c r="O239"/>
  <c r="K239"/>
  <c r="H239"/>
  <c r="E239"/>
  <c r="C239"/>
  <c r="B98"/>
  <c r="B239"/>
  <c r="Q238"/>
  <c r="O238"/>
  <c r="M238"/>
  <c r="K238"/>
  <c r="H238"/>
  <c r="E238"/>
  <c r="C238"/>
  <c r="B97"/>
  <c r="B238"/>
  <c r="Q237"/>
  <c r="O237"/>
  <c r="M237"/>
  <c r="K237"/>
  <c r="H237"/>
  <c r="E237"/>
  <c r="C237"/>
  <c r="B96"/>
  <c r="O236"/>
  <c r="M236"/>
  <c r="K236"/>
  <c r="H236"/>
  <c r="E236"/>
  <c r="C236"/>
  <c r="B95"/>
  <c r="A95"/>
  <c r="Q235"/>
  <c r="O235"/>
  <c r="M235"/>
  <c r="K235"/>
  <c r="C235"/>
  <c r="B94"/>
  <c r="B235"/>
  <c r="Q234"/>
  <c r="O234"/>
  <c r="M234"/>
  <c r="K234"/>
  <c r="H234"/>
  <c r="E234"/>
  <c r="C234"/>
  <c r="B93"/>
  <c r="B234"/>
  <c r="Q233"/>
  <c r="O233"/>
  <c r="M233"/>
  <c r="H233"/>
  <c r="E233"/>
  <c r="C233"/>
  <c r="B92"/>
  <c r="B233"/>
  <c r="Q232"/>
  <c r="O232"/>
  <c r="M232"/>
  <c r="K232"/>
  <c r="H232"/>
  <c r="E232"/>
  <c r="C232"/>
  <c r="B91"/>
  <c r="Q231"/>
  <c r="O231"/>
  <c r="K231"/>
  <c r="H231"/>
  <c r="E231"/>
  <c r="C231"/>
  <c r="B90"/>
  <c r="A90"/>
  <c r="Q230"/>
  <c r="O230"/>
  <c r="M230"/>
  <c r="K230"/>
  <c r="H230"/>
  <c r="E230"/>
  <c r="C230"/>
  <c r="B89"/>
  <c r="B230"/>
  <c r="Q88"/>
  <c r="Q229"/>
  <c r="O229"/>
  <c r="M229"/>
  <c r="K229"/>
  <c r="H229"/>
  <c r="E229"/>
  <c r="C88"/>
  <c r="C229"/>
  <c r="B88"/>
  <c r="B229"/>
  <c r="Q87"/>
  <c r="Q228"/>
  <c r="R86" i="5"/>
  <c r="P87" i="2"/>
  <c r="O87"/>
  <c r="O228"/>
  <c r="P86" i="5"/>
  <c r="N87" i="2"/>
  <c r="M87"/>
  <c r="M228"/>
  <c r="N86" i="5"/>
  <c r="L87" i="2"/>
  <c r="K87"/>
  <c r="K228"/>
  <c r="L86" i="5"/>
  <c r="J87" i="2"/>
  <c r="I87"/>
  <c r="H87"/>
  <c r="H228"/>
  <c r="I86" i="5"/>
  <c r="G87" i="2"/>
  <c r="E87"/>
  <c r="E228"/>
  <c r="F86" i="5"/>
  <c r="D87" i="2"/>
  <c r="C87"/>
  <c r="C228"/>
  <c r="D86" i="5"/>
  <c r="B87" i="2"/>
  <c r="Q86"/>
  <c r="Q227"/>
  <c r="R85" i="5"/>
  <c r="P86" i="2"/>
  <c r="O86"/>
  <c r="O227"/>
  <c r="P85" i="5"/>
  <c r="N86" i="2"/>
  <c r="M86"/>
  <c r="M227"/>
  <c r="N85" i="5"/>
  <c r="L86" i="2"/>
  <c r="K86"/>
  <c r="K227"/>
  <c r="L85" i="5"/>
  <c r="J86" i="2"/>
  <c r="I86"/>
  <c r="H86"/>
  <c r="H227"/>
  <c r="I85" i="5"/>
  <c r="G86" i="2"/>
  <c r="E86"/>
  <c r="E227"/>
  <c r="F85" i="5"/>
  <c r="D86" i="2"/>
  <c r="C86"/>
  <c r="C227"/>
  <c r="D85" i="5"/>
  <c r="B86" i="2"/>
  <c r="B227"/>
  <c r="Q85"/>
  <c r="Q226"/>
  <c r="R84" i="5"/>
  <c r="P85" i="2"/>
  <c r="O85"/>
  <c r="O226"/>
  <c r="P84" i="5"/>
  <c r="N85" i="2"/>
  <c r="M85"/>
  <c r="M226"/>
  <c r="N84" i="5"/>
  <c r="L85" i="2"/>
  <c r="K85"/>
  <c r="K226"/>
  <c r="L84" i="5"/>
  <c r="J85" i="2"/>
  <c r="I85"/>
  <c r="H85"/>
  <c r="H226"/>
  <c r="I84" i="5"/>
  <c r="G85" i="2"/>
  <c r="E85"/>
  <c r="E226"/>
  <c r="F84" i="5"/>
  <c r="D85" i="2"/>
  <c r="C85"/>
  <c r="C226"/>
  <c r="D84" i="5"/>
  <c r="B85" i="2"/>
  <c r="Q84"/>
  <c r="Q225"/>
  <c r="R83" i="5"/>
  <c r="P84" i="2"/>
  <c r="O84"/>
  <c r="O225"/>
  <c r="P83" i="5"/>
  <c r="N84" i="2"/>
  <c r="M84"/>
  <c r="M225"/>
  <c r="N83" i="5"/>
  <c r="L84" i="2"/>
  <c r="K84"/>
  <c r="K225"/>
  <c r="L83" i="5"/>
  <c r="J84" i="2"/>
  <c r="I84"/>
  <c r="H84"/>
  <c r="H225"/>
  <c r="I83" i="5"/>
  <c r="G84" i="2"/>
  <c r="E84"/>
  <c r="E225"/>
  <c r="F83" i="5"/>
  <c r="D84" i="2"/>
  <c r="C84"/>
  <c r="C225"/>
  <c r="D83" i="5"/>
  <c r="B84" i="2"/>
  <c r="B225"/>
  <c r="C83" i="5"/>
  <c r="Q83" i="2"/>
  <c r="Q224"/>
  <c r="R82" i="5"/>
  <c r="P83" i="2"/>
  <c r="O83"/>
  <c r="O224"/>
  <c r="P82" i="5"/>
  <c r="N83" i="2"/>
  <c r="M83"/>
  <c r="M224"/>
  <c r="N82" i="5"/>
  <c r="L83" i="2"/>
  <c r="L224"/>
  <c r="K83"/>
  <c r="K224"/>
  <c r="L82" i="5"/>
  <c r="J83" i="2"/>
  <c r="I83"/>
  <c r="H83"/>
  <c r="H224"/>
  <c r="I82" i="5"/>
  <c r="G83" i="2"/>
  <c r="E83"/>
  <c r="E224"/>
  <c r="F82" i="5"/>
  <c r="D83" i="2"/>
  <c r="C83"/>
  <c r="C224"/>
  <c r="D82" i="5"/>
  <c r="B83" i="2"/>
  <c r="Q82"/>
  <c r="Q223"/>
  <c r="R81" i="5"/>
  <c r="P82" i="2"/>
  <c r="O82"/>
  <c r="O223"/>
  <c r="P81" i="5"/>
  <c r="N82" i="2"/>
  <c r="N223"/>
  <c r="M82"/>
  <c r="M223"/>
  <c r="N81" i="5"/>
  <c r="L82" i="2"/>
  <c r="K82"/>
  <c r="K223"/>
  <c r="L81" i="5"/>
  <c r="J82" i="2"/>
  <c r="I82"/>
  <c r="H82"/>
  <c r="H223"/>
  <c r="I81" i="5"/>
  <c r="G82" i="2"/>
  <c r="E82"/>
  <c r="E223"/>
  <c r="F81" i="5"/>
  <c r="D82" i="2"/>
  <c r="C82"/>
  <c r="C223"/>
  <c r="D81" i="5"/>
  <c r="B82" i="2"/>
  <c r="Q81"/>
  <c r="Q222"/>
  <c r="R80" i="5"/>
  <c r="R273"/>
  <c r="P81" i="2"/>
  <c r="O81"/>
  <c r="O222"/>
  <c r="P80" i="5"/>
  <c r="P273"/>
  <c r="N81" i="2"/>
  <c r="M81"/>
  <c r="M222"/>
  <c r="N80" i="5"/>
  <c r="N273"/>
  <c r="L81" i="2"/>
  <c r="K81"/>
  <c r="K222"/>
  <c r="L80" i="5"/>
  <c r="L273"/>
  <c r="J81" i="2"/>
  <c r="I81"/>
  <c r="H81"/>
  <c r="H222"/>
  <c r="I80" i="5"/>
  <c r="I273"/>
  <c r="G81" i="2"/>
  <c r="E81"/>
  <c r="E222"/>
  <c r="F80" i="5"/>
  <c r="F273"/>
  <c r="D81" i="2"/>
  <c r="C81"/>
  <c r="C222"/>
  <c r="D80" i="5"/>
  <c r="D273"/>
  <c r="B81" i="2"/>
  <c r="B222"/>
  <c r="C80" i="5"/>
  <c r="C273"/>
  <c r="Q80" i="2"/>
  <c r="Q221"/>
  <c r="R79" i="5"/>
  <c r="R272"/>
  <c r="P80" i="2"/>
  <c r="O80"/>
  <c r="O221"/>
  <c r="P79" i="5"/>
  <c r="P272"/>
  <c r="N80" i="2"/>
  <c r="M80"/>
  <c r="M221"/>
  <c r="N79" i="5"/>
  <c r="N272"/>
  <c r="L80" i="2"/>
  <c r="K80"/>
  <c r="K221"/>
  <c r="L79" i="5"/>
  <c r="L272"/>
  <c r="J80" i="2"/>
  <c r="I80"/>
  <c r="H80"/>
  <c r="H221"/>
  <c r="I79" i="5"/>
  <c r="I272"/>
  <c r="G80" i="2"/>
  <c r="E80"/>
  <c r="E221"/>
  <c r="F79" i="5"/>
  <c r="F272"/>
  <c r="D80" i="2"/>
  <c r="C80"/>
  <c r="C221"/>
  <c r="D79" i="5"/>
  <c r="D272"/>
  <c r="B80" i="2"/>
  <c r="Q79"/>
  <c r="Q220"/>
  <c r="R78" i="5"/>
  <c r="R271"/>
  <c r="P79" i="2"/>
  <c r="O79"/>
  <c r="O220"/>
  <c r="P78" i="5"/>
  <c r="P271"/>
  <c r="N79" i="2"/>
  <c r="M79"/>
  <c r="M220"/>
  <c r="N78" i="5"/>
  <c r="N271"/>
  <c r="L79" i="2"/>
  <c r="K79"/>
  <c r="K220"/>
  <c r="L78" i="5"/>
  <c r="L271"/>
  <c r="J79" i="2"/>
  <c r="I79"/>
  <c r="H79"/>
  <c r="H220"/>
  <c r="I78" i="5"/>
  <c r="I271"/>
  <c r="G79" i="2"/>
  <c r="E79"/>
  <c r="E220"/>
  <c r="F78" i="5"/>
  <c r="F271"/>
  <c r="D79" i="2"/>
  <c r="C79"/>
  <c r="C220"/>
  <c r="D78" i="5"/>
  <c r="D271"/>
  <c r="B79" i="2"/>
  <c r="B220"/>
  <c r="Q78"/>
  <c r="Q219"/>
  <c r="P78"/>
  <c r="O78"/>
  <c r="O219"/>
  <c r="N78"/>
  <c r="M78"/>
  <c r="M219"/>
  <c r="L78"/>
  <c r="K78"/>
  <c r="K219"/>
  <c r="J78"/>
  <c r="I78"/>
  <c r="H78"/>
  <c r="H219"/>
  <c r="G78"/>
  <c r="E78"/>
  <c r="E219"/>
  <c r="D78"/>
  <c r="C78"/>
  <c r="C219"/>
  <c r="B78"/>
  <c r="B219"/>
  <c r="Q77"/>
  <c r="Q218"/>
  <c r="P77"/>
  <c r="O77"/>
  <c r="O218"/>
  <c r="N77"/>
  <c r="M77"/>
  <c r="M218"/>
  <c r="L77"/>
  <c r="K77"/>
  <c r="K218"/>
  <c r="J77"/>
  <c r="I77"/>
  <c r="H77"/>
  <c r="H218"/>
  <c r="G77"/>
  <c r="E77"/>
  <c r="E218"/>
  <c r="D77"/>
  <c r="C77"/>
  <c r="C218"/>
  <c r="B77"/>
  <c r="Q76"/>
  <c r="Q217"/>
  <c r="P76"/>
  <c r="O76"/>
  <c r="O217"/>
  <c r="N76"/>
  <c r="M76"/>
  <c r="M217"/>
  <c r="L76"/>
  <c r="K76"/>
  <c r="K217"/>
  <c r="J76"/>
  <c r="I76"/>
  <c r="H76"/>
  <c r="H217"/>
  <c r="G76"/>
  <c r="E76"/>
  <c r="E217"/>
  <c r="D76"/>
  <c r="C76"/>
  <c r="C217"/>
  <c r="B76"/>
  <c r="B217"/>
  <c r="Q75"/>
  <c r="Q216"/>
  <c r="P75"/>
  <c r="O75"/>
  <c r="O216"/>
  <c r="N75"/>
  <c r="M75"/>
  <c r="M216"/>
  <c r="L75"/>
  <c r="K75"/>
  <c r="K216"/>
  <c r="J75"/>
  <c r="I75"/>
  <c r="H75"/>
  <c r="H216"/>
  <c r="G75"/>
  <c r="E75"/>
  <c r="E216"/>
  <c r="D75"/>
  <c r="C75"/>
  <c r="C216"/>
  <c r="B75"/>
  <c r="Q74"/>
  <c r="Q215"/>
  <c r="P74"/>
  <c r="O74"/>
  <c r="O215"/>
  <c r="N74"/>
  <c r="M74"/>
  <c r="M215"/>
  <c r="L74"/>
  <c r="K74"/>
  <c r="K215"/>
  <c r="J74"/>
  <c r="J215"/>
  <c r="I74"/>
  <c r="H74"/>
  <c r="H215"/>
  <c r="G74"/>
  <c r="E74"/>
  <c r="E215"/>
  <c r="D74"/>
  <c r="C74"/>
  <c r="C215"/>
  <c r="B74"/>
  <c r="Q73"/>
  <c r="Q214"/>
  <c r="P73"/>
  <c r="O73"/>
  <c r="O214"/>
  <c r="N73"/>
  <c r="M73"/>
  <c r="M214"/>
  <c r="L73"/>
  <c r="K73"/>
  <c r="K214"/>
  <c r="J73"/>
  <c r="I73"/>
  <c r="H73"/>
  <c r="H214"/>
  <c r="G73"/>
  <c r="E73"/>
  <c r="E214"/>
  <c r="D73"/>
  <c r="C73"/>
  <c r="C214"/>
  <c r="B73"/>
  <c r="Q72"/>
  <c r="Q213"/>
  <c r="P72"/>
  <c r="O72"/>
  <c r="O213"/>
  <c r="N72"/>
  <c r="M72"/>
  <c r="M213"/>
  <c r="L72"/>
  <c r="K72"/>
  <c r="K213"/>
  <c r="J72"/>
  <c r="I72"/>
  <c r="H72"/>
  <c r="H213"/>
  <c r="G72"/>
  <c r="E72"/>
  <c r="E213"/>
  <c r="D72"/>
  <c r="C72"/>
  <c r="C213"/>
  <c r="B72"/>
  <c r="B213"/>
  <c r="Q71"/>
  <c r="Q212"/>
  <c r="P71"/>
  <c r="O71"/>
  <c r="O212"/>
  <c r="N71"/>
  <c r="M71"/>
  <c r="M212"/>
  <c r="L71"/>
  <c r="K71"/>
  <c r="K212"/>
  <c r="J71"/>
  <c r="I71"/>
  <c r="H71"/>
  <c r="H212"/>
  <c r="G71"/>
  <c r="E71"/>
  <c r="E212"/>
  <c r="D71"/>
  <c r="C71"/>
  <c r="C212"/>
  <c r="B71"/>
  <c r="Q70"/>
  <c r="Q211"/>
  <c r="P70"/>
  <c r="O70"/>
  <c r="O211"/>
  <c r="N70"/>
  <c r="M70"/>
  <c r="M211"/>
  <c r="L70"/>
  <c r="K70"/>
  <c r="K211"/>
  <c r="J70"/>
  <c r="I70"/>
  <c r="H70"/>
  <c r="H211"/>
  <c r="G70"/>
  <c r="E70"/>
  <c r="E211"/>
  <c r="D70"/>
  <c r="C70"/>
  <c r="C211"/>
  <c r="B70"/>
  <c r="B211"/>
  <c r="Q69"/>
  <c r="Q210"/>
  <c r="P69"/>
  <c r="P210"/>
  <c r="O69"/>
  <c r="O210"/>
  <c r="N69"/>
  <c r="N210"/>
  <c r="M69"/>
  <c r="M210"/>
  <c r="L69"/>
  <c r="L210"/>
  <c r="K69"/>
  <c r="K210"/>
  <c r="J69"/>
  <c r="J210"/>
  <c r="I69"/>
  <c r="I210"/>
  <c r="H69"/>
  <c r="H210"/>
  <c r="G69"/>
  <c r="G210"/>
  <c r="E69"/>
  <c r="E210"/>
  <c r="D69"/>
  <c r="D210"/>
  <c r="C69"/>
  <c r="C210"/>
  <c r="B69"/>
  <c r="B210"/>
  <c r="Q68"/>
  <c r="Q209"/>
  <c r="P68"/>
  <c r="P209"/>
  <c r="P272"/>
  <c r="O68"/>
  <c r="O209"/>
  <c r="N68"/>
  <c r="N209"/>
  <c r="M68"/>
  <c r="M209"/>
  <c r="L68"/>
  <c r="L209"/>
  <c r="K68"/>
  <c r="K209"/>
  <c r="J68"/>
  <c r="J209"/>
  <c r="I68"/>
  <c r="I209"/>
  <c r="H68"/>
  <c r="H209"/>
  <c r="G68"/>
  <c r="G209"/>
  <c r="G272"/>
  <c r="E68"/>
  <c r="E209"/>
  <c r="D68"/>
  <c r="D209"/>
  <c r="D272"/>
  <c r="C68"/>
  <c r="C209"/>
  <c r="B68"/>
  <c r="B209"/>
  <c r="Q67"/>
  <c r="Q208"/>
  <c r="P67"/>
  <c r="P208"/>
  <c r="O67"/>
  <c r="O208"/>
  <c r="N67"/>
  <c r="N208"/>
  <c r="N271"/>
  <c r="M67"/>
  <c r="M208"/>
  <c r="L67"/>
  <c r="L208"/>
  <c r="L271"/>
  <c r="K67"/>
  <c r="K208"/>
  <c r="J67"/>
  <c r="J208"/>
  <c r="J271"/>
  <c r="I67"/>
  <c r="I208"/>
  <c r="I271"/>
  <c r="H67"/>
  <c r="H208"/>
  <c r="G67"/>
  <c r="G208"/>
  <c r="E67"/>
  <c r="E208"/>
  <c r="D67"/>
  <c r="D208"/>
  <c r="C67"/>
  <c r="C208"/>
  <c r="B67"/>
  <c r="Q66"/>
  <c r="Q207"/>
  <c r="P66"/>
  <c r="P207"/>
  <c r="O66"/>
  <c r="O207"/>
  <c r="N66"/>
  <c r="N207"/>
  <c r="N270"/>
  <c r="M66"/>
  <c r="M207"/>
  <c r="L66"/>
  <c r="L207"/>
  <c r="K66"/>
  <c r="K207"/>
  <c r="J66"/>
  <c r="J207"/>
  <c r="J270"/>
  <c r="I66"/>
  <c r="I207"/>
  <c r="H66"/>
  <c r="H207"/>
  <c r="G66"/>
  <c r="G207"/>
  <c r="E66"/>
  <c r="E207"/>
  <c r="D66"/>
  <c r="D207"/>
  <c r="C66"/>
  <c r="C207"/>
  <c r="B66"/>
  <c r="B207"/>
  <c r="Q65"/>
  <c r="Q206"/>
  <c r="P65"/>
  <c r="P206"/>
  <c r="O65"/>
  <c r="O206"/>
  <c r="N65"/>
  <c r="N206"/>
  <c r="M65"/>
  <c r="M206"/>
  <c r="L65"/>
  <c r="L206"/>
  <c r="K65"/>
  <c r="K206"/>
  <c r="J65"/>
  <c r="J206"/>
  <c r="I65"/>
  <c r="I206"/>
  <c r="H65"/>
  <c r="H206"/>
  <c r="G65"/>
  <c r="G206"/>
  <c r="E65"/>
  <c r="E206"/>
  <c r="D65"/>
  <c r="D206"/>
  <c r="C65"/>
  <c r="C206"/>
  <c r="B65"/>
  <c r="B206"/>
  <c r="Q64"/>
  <c r="Q205"/>
  <c r="P64"/>
  <c r="P205"/>
  <c r="P268"/>
  <c r="O64"/>
  <c r="O205"/>
  <c r="N64"/>
  <c r="N205"/>
  <c r="M64"/>
  <c r="M205"/>
  <c r="L64"/>
  <c r="L205"/>
  <c r="L268"/>
  <c r="K64"/>
  <c r="K205"/>
  <c r="J64"/>
  <c r="J205"/>
  <c r="I64"/>
  <c r="I205"/>
  <c r="H64"/>
  <c r="H205"/>
  <c r="G64"/>
  <c r="G205"/>
  <c r="E64"/>
  <c r="E205"/>
  <c r="D64"/>
  <c r="D205"/>
  <c r="D268"/>
  <c r="C64"/>
  <c r="C205"/>
  <c r="B64"/>
  <c r="Q63"/>
  <c r="Q204"/>
  <c r="P63"/>
  <c r="P204"/>
  <c r="P267"/>
  <c r="O63"/>
  <c r="O204"/>
  <c r="N63"/>
  <c r="N204"/>
  <c r="N267"/>
  <c r="M63"/>
  <c r="M204"/>
  <c r="L63"/>
  <c r="L204"/>
  <c r="K63"/>
  <c r="K204"/>
  <c r="J63"/>
  <c r="J204"/>
  <c r="J267"/>
  <c r="I63"/>
  <c r="I204"/>
  <c r="H63"/>
  <c r="H204"/>
  <c r="G63"/>
  <c r="G204"/>
  <c r="E63"/>
  <c r="E204"/>
  <c r="D63"/>
  <c r="D204"/>
  <c r="C63"/>
  <c r="C204"/>
  <c r="B63"/>
  <c r="Q62"/>
  <c r="Q203"/>
  <c r="P62"/>
  <c r="P203"/>
  <c r="O62"/>
  <c r="O203"/>
  <c r="N62"/>
  <c r="N203"/>
  <c r="N266"/>
  <c r="M62"/>
  <c r="M203"/>
  <c r="L62"/>
  <c r="L203"/>
  <c r="K62"/>
  <c r="K203"/>
  <c r="J62"/>
  <c r="J203"/>
  <c r="J266"/>
  <c r="I62"/>
  <c r="I203"/>
  <c r="H62"/>
  <c r="H203"/>
  <c r="G62"/>
  <c r="G203"/>
  <c r="E62"/>
  <c r="E203"/>
  <c r="D62"/>
  <c r="D203"/>
  <c r="D266"/>
  <c r="C62"/>
  <c r="C203"/>
  <c r="B62"/>
  <c r="Q61"/>
  <c r="Q202"/>
  <c r="P61"/>
  <c r="P202"/>
  <c r="O61"/>
  <c r="O202"/>
  <c r="N61"/>
  <c r="N202"/>
  <c r="M61"/>
  <c r="M202"/>
  <c r="L61"/>
  <c r="L202"/>
  <c r="K61"/>
  <c r="K202"/>
  <c r="J61"/>
  <c r="J202"/>
  <c r="I61"/>
  <c r="I202"/>
  <c r="H61"/>
  <c r="H202"/>
  <c r="G61"/>
  <c r="G202"/>
  <c r="E61"/>
  <c r="E202"/>
  <c r="D61"/>
  <c r="D202"/>
  <c r="C61"/>
  <c r="C202"/>
  <c r="B61"/>
  <c r="Q60"/>
  <c r="Q201"/>
  <c r="P60"/>
  <c r="P201"/>
  <c r="P264"/>
  <c r="O60"/>
  <c r="O201"/>
  <c r="N60"/>
  <c r="N201"/>
  <c r="M60"/>
  <c r="M201"/>
  <c r="L60"/>
  <c r="L201"/>
  <c r="L264"/>
  <c r="K60"/>
  <c r="K201"/>
  <c r="J60"/>
  <c r="J201"/>
  <c r="I60"/>
  <c r="I201"/>
  <c r="H60"/>
  <c r="H201"/>
  <c r="G60"/>
  <c r="G201"/>
  <c r="G264"/>
  <c r="E60"/>
  <c r="E201"/>
  <c r="D60"/>
  <c r="D201"/>
  <c r="C60"/>
  <c r="C201"/>
  <c r="B60"/>
  <c r="B201"/>
  <c r="Q59"/>
  <c r="Q200"/>
  <c r="P59"/>
  <c r="P200"/>
  <c r="P263"/>
  <c r="O59"/>
  <c r="O200"/>
  <c r="N59"/>
  <c r="N200"/>
  <c r="N263"/>
  <c r="M59"/>
  <c r="M200"/>
  <c r="L59"/>
  <c r="L200"/>
  <c r="K59"/>
  <c r="K200"/>
  <c r="J59"/>
  <c r="J200"/>
  <c r="J263"/>
  <c r="I59"/>
  <c r="I200"/>
  <c r="H59"/>
  <c r="H200"/>
  <c r="G59"/>
  <c r="G200"/>
  <c r="E59"/>
  <c r="E200"/>
  <c r="D59"/>
  <c r="D200"/>
  <c r="C59"/>
  <c r="C200"/>
  <c r="B59"/>
  <c r="Q58"/>
  <c r="Q199"/>
  <c r="P58"/>
  <c r="P199"/>
  <c r="O58"/>
  <c r="O199"/>
  <c r="N58"/>
  <c r="N199"/>
  <c r="N262"/>
  <c r="M58"/>
  <c r="M199"/>
  <c r="L58"/>
  <c r="L199"/>
  <c r="K58"/>
  <c r="K199"/>
  <c r="J58"/>
  <c r="J199"/>
  <c r="J262"/>
  <c r="I58"/>
  <c r="I199"/>
  <c r="H58"/>
  <c r="H199"/>
  <c r="G58"/>
  <c r="G199"/>
  <c r="E58"/>
  <c r="E199"/>
  <c r="D58"/>
  <c r="D199"/>
  <c r="C58"/>
  <c r="C199"/>
  <c r="B58"/>
  <c r="Q57"/>
  <c r="Q198"/>
  <c r="P57"/>
  <c r="P198"/>
  <c r="O57"/>
  <c r="O198"/>
  <c r="N57"/>
  <c r="N198"/>
  <c r="M57"/>
  <c r="M198"/>
  <c r="L57"/>
  <c r="L198"/>
  <c r="K57"/>
  <c r="K198"/>
  <c r="J57"/>
  <c r="J198"/>
  <c r="I57"/>
  <c r="I198"/>
  <c r="H57"/>
  <c r="H198"/>
  <c r="G57"/>
  <c r="G198"/>
  <c r="E57"/>
  <c r="E198"/>
  <c r="D57"/>
  <c r="D198"/>
  <c r="C57"/>
  <c r="C198"/>
  <c r="B57"/>
  <c r="B198"/>
  <c r="Q56"/>
  <c r="Q197"/>
  <c r="P56"/>
  <c r="P197"/>
  <c r="P260"/>
  <c r="O56"/>
  <c r="O197"/>
  <c r="N56"/>
  <c r="N197"/>
  <c r="M56"/>
  <c r="M197"/>
  <c r="L56"/>
  <c r="L197"/>
  <c r="L260"/>
  <c r="K56"/>
  <c r="K197"/>
  <c r="J56"/>
  <c r="J197"/>
  <c r="I56"/>
  <c r="I197"/>
  <c r="H56"/>
  <c r="H197"/>
  <c r="G56"/>
  <c r="G197"/>
  <c r="E56"/>
  <c r="E197"/>
  <c r="D56"/>
  <c r="D197"/>
  <c r="C56"/>
  <c r="C197"/>
  <c r="B56"/>
  <c r="B197"/>
  <c r="A197"/>
  <c r="Q55"/>
  <c r="Q196"/>
  <c r="P55"/>
  <c r="P196"/>
  <c r="P259"/>
  <c r="O55"/>
  <c r="O196"/>
  <c r="N55"/>
  <c r="N196"/>
  <c r="N259"/>
  <c r="M55"/>
  <c r="M196"/>
  <c r="L55"/>
  <c r="L196"/>
  <c r="K55"/>
  <c r="K196"/>
  <c r="J55"/>
  <c r="J196"/>
  <c r="J259"/>
  <c r="I55"/>
  <c r="I196"/>
  <c r="H55"/>
  <c r="H196"/>
  <c r="G55"/>
  <c r="G196"/>
  <c r="E55"/>
  <c r="E196"/>
  <c r="D55"/>
  <c r="D196"/>
  <c r="C55"/>
  <c r="C196"/>
  <c r="B55"/>
  <c r="Q54"/>
  <c r="Q195"/>
  <c r="P54"/>
  <c r="P195"/>
  <c r="O54"/>
  <c r="O195"/>
  <c r="N54"/>
  <c r="N195"/>
  <c r="N258"/>
  <c r="M54"/>
  <c r="M195"/>
  <c r="L54"/>
  <c r="L195"/>
  <c r="K54"/>
  <c r="K195"/>
  <c r="J54"/>
  <c r="J195"/>
  <c r="J258"/>
  <c r="I54"/>
  <c r="I195"/>
  <c r="H54"/>
  <c r="H195"/>
  <c r="G54"/>
  <c r="G195"/>
  <c r="G258"/>
  <c r="E54"/>
  <c r="E195"/>
  <c r="D54"/>
  <c r="D195"/>
  <c r="D258"/>
  <c r="C54"/>
  <c r="B54"/>
  <c r="B195"/>
  <c r="Q53"/>
  <c r="Q194"/>
  <c r="P53"/>
  <c r="P194"/>
  <c r="O53"/>
  <c r="O194"/>
  <c r="N53"/>
  <c r="N194"/>
  <c r="M53"/>
  <c r="M194"/>
  <c r="L53"/>
  <c r="L194"/>
  <c r="K53"/>
  <c r="K194"/>
  <c r="J53"/>
  <c r="J194"/>
  <c r="I53"/>
  <c r="I194"/>
  <c r="H53"/>
  <c r="H194"/>
  <c r="G53"/>
  <c r="G194"/>
  <c r="E53"/>
  <c r="E194"/>
  <c r="D53"/>
  <c r="D194"/>
  <c r="C53"/>
  <c r="C194"/>
  <c r="B53"/>
  <c r="B194"/>
  <c r="Q52"/>
  <c r="Q193"/>
  <c r="P52"/>
  <c r="P193"/>
  <c r="P256"/>
  <c r="O52"/>
  <c r="O193"/>
  <c r="N52"/>
  <c r="N193"/>
  <c r="M52"/>
  <c r="M193"/>
  <c r="L52"/>
  <c r="L193"/>
  <c r="L256"/>
  <c r="K52"/>
  <c r="K193"/>
  <c r="J52"/>
  <c r="J193"/>
  <c r="I52"/>
  <c r="I193"/>
  <c r="I256"/>
  <c r="H52"/>
  <c r="H193"/>
  <c r="G52"/>
  <c r="G193"/>
  <c r="E52"/>
  <c r="E193"/>
  <c r="D52"/>
  <c r="D193"/>
  <c r="C52"/>
  <c r="C193"/>
  <c r="B52"/>
  <c r="B193"/>
  <c r="Q51"/>
  <c r="Q192"/>
  <c r="P51"/>
  <c r="P192"/>
  <c r="P255"/>
  <c r="O51"/>
  <c r="O192"/>
  <c r="N51"/>
  <c r="N192"/>
  <c r="N255"/>
  <c r="M51"/>
  <c r="M192"/>
  <c r="L51"/>
  <c r="L192"/>
  <c r="K51"/>
  <c r="K192"/>
  <c r="J51"/>
  <c r="J192"/>
  <c r="J255"/>
  <c r="I51"/>
  <c r="I192"/>
  <c r="I255"/>
  <c r="H51"/>
  <c r="H192"/>
  <c r="G51"/>
  <c r="G192"/>
  <c r="E51"/>
  <c r="E192"/>
  <c r="D51"/>
  <c r="D192"/>
  <c r="C51"/>
  <c r="C192"/>
  <c r="B51"/>
  <c r="B192"/>
  <c r="Q50"/>
  <c r="Q191"/>
  <c r="P50"/>
  <c r="P191"/>
  <c r="O50"/>
  <c r="O191"/>
  <c r="N50"/>
  <c r="N191"/>
  <c r="N254"/>
  <c r="M50"/>
  <c r="M191"/>
  <c r="L50"/>
  <c r="L191"/>
  <c r="K50"/>
  <c r="K191"/>
  <c r="J50"/>
  <c r="J191"/>
  <c r="J254"/>
  <c r="I50"/>
  <c r="I191"/>
  <c r="H50"/>
  <c r="H191"/>
  <c r="G50"/>
  <c r="G191"/>
  <c r="E50"/>
  <c r="E191"/>
  <c r="D50"/>
  <c r="D191"/>
  <c r="D254"/>
  <c r="C50"/>
  <c r="C191"/>
  <c r="B50"/>
  <c r="B191"/>
  <c r="Q49"/>
  <c r="Q190"/>
  <c r="P49"/>
  <c r="P190"/>
  <c r="O49"/>
  <c r="O190"/>
  <c r="N49"/>
  <c r="N190"/>
  <c r="M49"/>
  <c r="M190"/>
  <c r="L49"/>
  <c r="L190"/>
  <c r="K49"/>
  <c r="K190"/>
  <c r="J49"/>
  <c r="J190"/>
  <c r="I49"/>
  <c r="I190"/>
  <c r="H49"/>
  <c r="H190"/>
  <c r="G49"/>
  <c r="G190"/>
  <c r="E49"/>
  <c r="E190"/>
  <c r="D49"/>
  <c r="D190"/>
  <c r="D253"/>
  <c r="C49"/>
  <c r="C190"/>
  <c r="B49"/>
  <c r="Q48"/>
  <c r="Q189"/>
  <c r="P48"/>
  <c r="P189"/>
  <c r="P252"/>
  <c r="O48"/>
  <c r="O189"/>
  <c r="N48"/>
  <c r="N189"/>
  <c r="M48"/>
  <c r="M189"/>
  <c r="L48"/>
  <c r="L189"/>
  <c r="L252"/>
  <c r="K48"/>
  <c r="K189"/>
  <c r="J48"/>
  <c r="J189"/>
  <c r="I48"/>
  <c r="I189"/>
  <c r="H48"/>
  <c r="H189"/>
  <c r="G48"/>
  <c r="G189"/>
  <c r="G252"/>
  <c r="E48"/>
  <c r="E189"/>
  <c r="D48"/>
  <c r="D189"/>
  <c r="C48"/>
  <c r="C189"/>
  <c r="B48"/>
  <c r="Q47"/>
  <c r="Q188"/>
  <c r="P47"/>
  <c r="P188"/>
  <c r="O47"/>
  <c r="O188"/>
  <c r="N47"/>
  <c r="N188"/>
  <c r="N251"/>
  <c r="M47"/>
  <c r="M188"/>
  <c r="L47"/>
  <c r="L188"/>
  <c r="K47"/>
  <c r="K188"/>
  <c r="J47"/>
  <c r="J188"/>
  <c r="J251"/>
  <c r="I47"/>
  <c r="I188"/>
  <c r="H47"/>
  <c r="H188"/>
  <c r="G47"/>
  <c r="G188"/>
  <c r="E47"/>
  <c r="E188"/>
  <c r="D47"/>
  <c r="D188"/>
  <c r="C47"/>
  <c r="C188"/>
  <c r="B47"/>
  <c r="Q46"/>
  <c r="Q187"/>
  <c r="P46"/>
  <c r="P187"/>
  <c r="O46"/>
  <c r="O187"/>
  <c r="N46"/>
  <c r="N187"/>
  <c r="M46"/>
  <c r="M187"/>
  <c r="L46"/>
  <c r="L187"/>
  <c r="K46"/>
  <c r="K187"/>
  <c r="J46"/>
  <c r="J187"/>
  <c r="J250"/>
  <c r="I46"/>
  <c r="I187"/>
  <c r="H46"/>
  <c r="H187"/>
  <c r="G46"/>
  <c r="G187"/>
  <c r="E46"/>
  <c r="E187"/>
  <c r="D46"/>
  <c r="D187"/>
  <c r="C46"/>
  <c r="C187"/>
  <c r="B46"/>
  <c r="Q45"/>
  <c r="Q186"/>
  <c r="P45"/>
  <c r="P186"/>
  <c r="O45"/>
  <c r="O186"/>
  <c r="N45"/>
  <c r="N186"/>
  <c r="M45"/>
  <c r="M186"/>
  <c r="L45"/>
  <c r="L186"/>
  <c r="K45"/>
  <c r="K186"/>
  <c r="J45"/>
  <c r="J186"/>
  <c r="I45"/>
  <c r="I186"/>
  <c r="H45"/>
  <c r="H186"/>
  <c r="G45"/>
  <c r="G186"/>
  <c r="E45"/>
  <c r="E186"/>
  <c r="D45"/>
  <c r="D186"/>
  <c r="C45"/>
  <c r="C186"/>
  <c r="B45"/>
  <c r="Q44"/>
  <c r="Q185"/>
  <c r="P44"/>
  <c r="P185"/>
  <c r="P248"/>
  <c r="O44"/>
  <c r="O185"/>
  <c r="N44"/>
  <c r="N185"/>
  <c r="M44"/>
  <c r="M185"/>
  <c r="L44"/>
  <c r="L185"/>
  <c r="L248"/>
  <c r="K44"/>
  <c r="K185"/>
  <c r="J44"/>
  <c r="J185"/>
  <c r="I44"/>
  <c r="I185"/>
  <c r="H44"/>
  <c r="H185"/>
  <c r="G44"/>
  <c r="G185"/>
  <c r="E44"/>
  <c r="E185"/>
  <c r="D44"/>
  <c r="D185"/>
  <c r="C44"/>
  <c r="C185"/>
  <c r="B44"/>
  <c r="B185"/>
  <c r="Q43"/>
  <c r="Q184"/>
  <c r="P43"/>
  <c r="P184"/>
  <c r="P247"/>
  <c r="O43"/>
  <c r="O184"/>
  <c r="N43"/>
  <c r="N184"/>
  <c r="N247"/>
  <c r="M43"/>
  <c r="M184"/>
  <c r="L43"/>
  <c r="L184"/>
  <c r="K43"/>
  <c r="K184"/>
  <c r="J43"/>
  <c r="J184"/>
  <c r="J247"/>
  <c r="I43"/>
  <c r="I184"/>
  <c r="H43"/>
  <c r="H184"/>
  <c r="G43"/>
  <c r="G184"/>
  <c r="E43"/>
  <c r="E184"/>
  <c r="D43"/>
  <c r="D184"/>
  <c r="C43"/>
  <c r="C184"/>
  <c r="B43"/>
  <c r="Q42"/>
  <c r="Q183"/>
  <c r="P42"/>
  <c r="P183"/>
  <c r="O42"/>
  <c r="O183"/>
  <c r="N42"/>
  <c r="N183"/>
  <c r="N246"/>
  <c r="M42"/>
  <c r="M183"/>
  <c r="L42"/>
  <c r="L183"/>
  <c r="K42"/>
  <c r="K183"/>
  <c r="J42"/>
  <c r="J183"/>
  <c r="J246"/>
  <c r="I42"/>
  <c r="I183"/>
  <c r="H42"/>
  <c r="H183"/>
  <c r="G42"/>
  <c r="G183"/>
  <c r="G246"/>
  <c r="E42"/>
  <c r="E183"/>
  <c r="D42"/>
  <c r="D183"/>
  <c r="C42"/>
  <c r="C183"/>
  <c r="B42"/>
  <c r="Q41"/>
  <c r="Q182"/>
  <c r="P41"/>
  <c r="P182"/>
  <c r="O41"/>
  <c r="O182"/>
  <c r="N41"/>
  <c r="N182"/>
  <c r="M41"/>
  <c r="M182"/>
  <c r="L41"/>
  <c r="L182"/>
  <c r="K41"/>
  <c r="K182"/>
  <c r="J41"/>
  <c r="J182"/>
  <c r="I41"/>
  <c r="I182"/>
  <c r="H41"/>
  <c r="H182"/>
  <c r="G41"/>
  <c r="G182"/>
  <c r="E41"/>
  <c r="E182"/>
  <c r="D41"/>
  <c r="D182"/>
  <c r="C41"/>
  <c r="C182"/>
  <c r="B41"/>
  <c r="Q40"/>
  <c r="Q181"/>
  <c r="P40"/>
  <c r="P181"/>
  <c r="P244"/>
  <c r="O40"/>
  <c r="O181"/>
  <c r="N40"/>
  <c r="N181"/>
  <c r="M40"/>
  <c r="M181"/>
  <c r="L40"/>
  <c r="L181"/>
  <c r="L244"/>
  <c r="K40"/>
  <c r="K181"/>
  <c r="J40"/>
  <c r="J181"/>
  <c r="I40"/>
  <c r="I181"/>
  <c r="H40"/>
  <c r="H181"/>
  <c r="G40"/>
  <c r="G181"/>
  <c r="G244"/>
  <c r="E40"/>
  <c r="E181"/>
  <c r="D40"/>
  <c r="D181"/>
  <c r="C40"/>
  <c r="C181"/>
  <c r="B40"/>
  <c r="B181"/>
  <c r="Q39"/>
  <c r="Q180"/>
  <c r="P39"/>
  <c r="P180"/>
  <c r="P243"/>
  <c r="O39"/>
  <c r="O180"/>
  <c r="N39"/>
  <c r="N180"/>
  <c r="N243"/>
  <c r="M39"/>
  <c r="M180"/>
  <c r="L39"/>
  <c r="L180"/>
  <c r="K39"/>
  <c r="K180"/>
  <c r="J39"/>
  <c r="J180"/>
  <c r="J243"/>
  <c r="I39"/>
  <c r="I180"/>
  <c r="H39"/>
  <c r="H180"/>
  <c r="G39"/>
  <c r="G180"/>
  <c r="E39"/>
  <c r="E180"/>
  <c r="D39"/>
  <c r="D180"/>
  <c r="C39"/>
  <c r="C180"/>
  <c r="B39"/>
  <c r="Q38"/>
  <c r="Q179"/>
  <c r="P38"/>
  <c r="P179"/>
  <c r="O38"/>
  <c r="O179"/>
  <c r="N38"/>
  <c r="N179"/>
  <c r="N242"/>
  <c r="M38"/>
  <c r="M179"/>
  <c r="L38"/>
  <c r="L179"/>
  <c r="K38"/>
  <c r="K179"/>
  <c r="J38"/>
  <c r="J179"/>
  <c r="J242"/>
  <c r="I38"/>
  <c r="I179"/>
  <c r="H38"/>
  <c r="H179"/>
  <c r="G38"/>
  <c r="G179"/>
  <c r="E38"/>
  <c r="E179"/>
  <c r="D38"/>
  <c r="D179"/>
  <c r="D242"/>
  <c r="C38"/>
  <c r="C179"/>
  <c r="B38"/>
  <c r="B179"/>
  <c r="Q37"/>
  <c r="Q178"/>
  <c r="P37"/>
  <c r="P178"/>
  <c r="O37"/>
  <c r="O178"/>
  <c r="N37"/>
  <c r="N178"/>
  <c r="M37"/>
  <c r="M178"/>
  <c r="L37"/>
  <c r="L178"/>
  <c r="K37"/>
  <c r="K178"/>
  <c r="J37"/>
  <c r="J178"/>
  <c r="I37"/>
  <c r="I178"/>
  <c r="H37"/>
  <c r="H178"/>
  <c r="G37"/>
  <c r="G178"/>
  <c r="E37"/>
  <c r="E178"/>
  <c r="D37"/>
  <c r="D178"/>
  <c r="C37"/>
  <c r="C178"/>
  <c r="B37"/>
  <c r="B178"/>
  <c r="Q36"/>
  <c r="Q177"/>
  <c r="P36"/>
  <c r="P177"/>
  <c r="P240"/>
  <c r="O36"/>
  <c r="O177"/>
  <c r="N36"/>
  <c r="N177"/>
  <c r="M36"/>
  <c r="M177"/>
  <c r="L36"/>
  <c r="L177"/>
  <c r="L240"/>
  <c r="K36"/>
  <c r="K177"/>
  <c r="J36"/>
  <c r="J177"/>
  <c r="I36"/>
  <c r="I177"/>
  <c r="H36"/>
  <c r="H177"/>
  <c r="G36"/>
  <c r="G177"/>
  <c r="E36"/>
  <c r="E177"/>
  <c r="D36"/>
  <c r="D177"/>
  <c r="C36"/>
  <c r="C177"/>
  <c r="B36"/>
  <c r="B177"/>
  <c r="Q35"/>
  <c r="Q176"/>
  <c r="P35"/>
  <c r="P176"/>
  <c r="O35"/>
  <c r="O176"/>
  <c r="N35"/>
  <c r="N176"/>
  <c r="N239"/>
  <c r="M35"/>
  <c r="M176"/>
  <c r="L35"/>
  <c r="L176"/>
  <c r="K35"/>
  <c r="K176"/>
  <c r="J35"/>
  <c r="J176"/>
  <c r="J239"/>
  <c r="I35"/>
  <c r="I176"/>
  <c r="I239"/>
  <c r="H35"/>
  <c r="H176"/>
  <c r="G35"/>
  <c r="G176"/>
  <c r="E35"/>
  <c r="E176"/>
  <c r="D35"/>
  <c r="D176"/>
  <c r="C35"/>
  <c r="C176"/>
  <c r="B35"/>
  <c r="Q34"/>
  <c r="Q175"/>
  <c r="P34"/>
  <c r="P175"/>
  <c r="O34"/>
  <c r="O175"/>
  <c r="N34"/>
  <c r="N175"/>
  <c r="N238"/>
  <c r="M34"/>
  <c r="M175"/>
  <c r="L34"/>
  <c r="L175"/>
  <c r="K34"/>
  <c r="K175"/>
  <c r="J34"/>
  <c r="J175"/>
  <c r="J238"/>
  <c r="I34"/>
  <c r="I175"/>
  <c r="H34"/>
  <c r="H175"/>
  <c r="G34"/>
  <c r="G175"/>
  <c r="E34"/>
  <c r="E175"/>
  <c r="D34"/>
  <c r="D175"/>
  <c r="D238"/>
  <c r="C34"/>
  <c r="C175"/>
  <c r="B34"/>
  <c r="Q33"/>
  <c r="Q174"/>
  <c r="P33"/>
  <c r="P174"/>
  <c r="O33"/>
  <c r="O174"/>
  <c r="N33"/>
  <c r="N174"/>
  <c r="M33"/>
  <c r="M174"/>
  <c r="L33"/>
  <c r="L174"/>
  <c r="K33"/>
  <c r="K174"/>
  <c r="J33"/>
  <c r="J174"/>
  <c r="I33"/>
  <c r="I174"/>
  <c r="H33"/>
  <c r="H174"/>
  <c r="G33"/>
  <c r="G174"/>
  <c r="E33"/>
  <c r="E174"/>
  <c r="D33"/>
  <c r="D174"/>
  <c r="C33"/>
  <c r="C174"/>
  <c r="B33"/>
  <c r="Q32"/>
  <c r="Q173"/>
  <c r="P32"/>
  <c r="P173"/>
  <c r="P236"/>
  <c r="O32"/>
  <c r="O173"/>
  <c r="N32"/>
  <c r="N173"/>
  <c r="M32"/>
  <c r="M173"/>
  <c r="L32"/>
  <c r="L173"/>
  <c r="L236"/>
  <c r="K32"/>
  <c r="K173"/>
  <c r="J32"/>
  <c r="J173"/>
  <c r="I32"/>
  <c r="I173"/>
  <c r="H32"/>
  <c r="H173"/>
  <c r="G32"/>
  <c r="G173"/>
  <c r="G236"/>
  <c r="E32"/>
  <c r="E173"/>
  <c r="D32"/>
  <c r="D173"/>
  <c r="C32"/>
  <c r="C173"/>
  <c r="B32"/>
  <c r="Q31"/>
  <c r="Q172"/>
  <c r="P31"/>
  <c r="P172"/>
  <c r="O31"/>
  <c r="O172"/>
  <c r="N31"/>
  <c r="N172"/>
  <c r="N235"/>
  <c r="M31"/>
  <c r="M172"/>
  <c r="L31"/>
  <c r="L172"/>
  <c r="K31"/>
  <c r="K172"/>
  <c r="J31"/>
  <c r="J172"/>
  <c r="J235"/>
  <c r="I31"/>
  <c r="I172"/>
  <c r="H31"/>
  <c r="H172"/>
  <c r="G31"/>
  <c r="G172"/>
  <c r="E31"/>
  <c r="E172"/>
  <c r="D31"/>
  <c r="D172"/>
  <c r="C31"/>
  <c r="C172"/>
  <c r="B31"/>
  <c r="Q30"/>
  <c r="Q171"/>
  <c r="P30"/>
  <c r="P171"/>
  <c r="O30"/>
  <c r="O171"/>
  <c r="N30"/>
  <c r="N171"/>
  <c r="N234"/>
  <c r="M30"/>
  <c r="M171"/>
  <c r="L30"/>
  <c r="L171"/>
  <c r="K30"/>
  <c r="K171"/>
  <c r="J30"/>
  <c r="J171"/>
  <c r="J234"/>
  <c r="I30"/>
  <c r="I171"/>
  <c r="H30"/>
  <c r="H171"/>
  <c r="G30"/>
  <c r="G171"/>
  <c r="E30"/>
  <c r="E171"/>
  <c r="D30"/>
  <c r="D171"/>
  <c r="C30"/>
  <c r="C171"/>
  <c r="B30"/>
  <c r="B171"/>
  <c r="Q29"/>
  <c r="Q170"/>
  <c r="P29"/>
  <c r="P170"/>
  <c r="O29"/>
  <c r="O170"/>
  <c r="N29"/>
  <c r="N170"/>
  <c r="M29"/>
  <c r="M170"/>
  <c r="L29"/>
  <c r="L170"/>
  <c r="K29"/>
  <c r="K170"/>
  <c r="J29"/>
  <c r="J170"/>
  <c r="I29"/>
  <c r="I170"/>
  <c r="H29"/>
  <c r="H170"/>
  <c r="G29"/>
  <c r="G170"/>
  <c r="E29"/>
  <c r="E170"/>
  <c r="D29"/>
  <c r="D170"/>
  <c r="C29"/>
  <c r="C170"/>
  <c r="B29"/>
  <c r="B170"/>
  <c r="Q28"/>
  <c r="Q169"/>
  <c r="P28"/>
  <c r="P169"/>
  <c r="P232"/>
  <c r="O28"/>
  <c r="O169"/>
  <c r="N28"/>
  <c r="N169"/>
  <c r="M28"/>
  <c r="M169"/>
  <c r="L28"/>
  <c r="L169"/>
  <c r="L232"/>
  <c r="K28"/>
  <c r="K169"/>
  <c r="J28"/>
  <c r="J169"/>
  <c r="I28"/>
  <c r="I169"/>
  <c r="H28"/>
  <c r="H169"/>
  <c r="G28"/>
  <c r="G169"/>
  <c r="E28"/>
  <c r="E169"/>
  <c r="D28"/>
  <c r="D169"/>
  <c r="C28"/>
  <c r="C169"/>
  <c r="B28"/>
  <c r="B169"/>
  <c r="Q27"/>
  <c r="Q168"/>
  <c r="P27"/>
  <c r="P168"/>
  <c r="P231"/>
  <c r="O27"/>
  <c r="O168"/>
  <c r="N27"/>
  <c r="N168"/>
  <c r="N231"/>
  <c r="M27"/>
  <c r="M168"/>
  <c r="L27"/>
  <c r="L168"/>
  <c r="K27"/>
  <c r="K168"/>
  <c r="J27"/>
  <c r="J168"/>
  <c r="J231"/>
  <c r="I27"/>
  <c r="I168"/>
  <c r="H27"/>
  <c r="H168"/>
  <c r="G27"/>
  <c r="G168"/>
  <c r="E27"/>
  <c r="E168"/>
  <c r="D27"/>
  <c r="D168"/>
  <c r="C27"/>
  <c r="C168"/>
  <c r="B27"/>
  <c r="Q26"/>
  <c r="Q167"/>
  <c r="P26"/>
  <c r="P167"/>
  <c r="O26"/>
  <c r="O167"/>
  <c r="N26"/>
  <c r="N167"/>
  <c r="N230"/>
  <c r="M26"/>
  <c r="M167"/>
  <c r="L26"/>
  <c r="L167"/>
  <c r="K26"/>
  <c r="K167"/>
  <c r="J26"/>
  <c r="J167"/>
  <c r="J230"/>
  <c r="I26"/>
  <c r="I167"/>
  <c r="H26"/>
  <c r="H167"/>
  <c r="G26"/>
  <c r="G167"/>
  <c r="E26"/>
  <c r="E167"/>
  <c r="D26"/>
  <c r="D167"/>
  <c r="D230"/>
  <c r="C26"/>
  <c r="C167"/>
  <c r="B26"/>
  <c r="Q25"/>
  <c r="Q166"/>
  <c r="P25"/>
  <c r="P166"/>
  <c r="O25"/>
  <c r="O166"/>
  <c r="N25"/>
  <c r="N166"/>
  <c r="M25"/>
  <c r="M166"/>
  <c r="L25"/>
  <c r="L166"/>
  <c r="K25"/>
  <c r="K166"/>
  <c r="J25"/>
  <c r="J166"/>
  <c r="I25"/>
  <c r="I166"/>
  <c r="H25"/>
  <c r="H166"/>
  <c r="G25"/>
  <c r="G166"/>
  <c r="E25"/>
  <c r="E166"/>
  <c r="D25"/>
  <c r="D166"/>
  <c r="C25"/>
  <c r="C166"/>
  <c r="B25"/>
  <c r="Q24"/>
  <c r="Q165"/>
  <c r="R23" i="5"/>
  <c r="P24" i="2"/>
  <c r="P165"/>
  <c r="Q23" i="5"/>
  <c r="O24" i="2"/>
  <c r="O165"/>
  <c r="P23" i="5"/>
  <c r="N24" i="2"/>
  <c r="N165"/>
  <c r="O23" i="5"/>
  <c r="M24" i="2"/>
  <c r="M165"/>
  <c r="N23" i="5"/>
  <c r="L24" i="2"/>
  <c r="L165"/>
  <c r="M23" i="5"/>
  <c r="K24" i="2"/>
  <c r="K165"/>
  <c r="L23" i="5"/>
  <c r="J24" i="2"/>
  <c r="J165"/>
  <c r="K23" i="5"/>
  <c r="I24" i="2"/>
  <c r="I165"/>
  <c r="J23" i="5"/>
  <c r="H24" i="2"/>
  <c r="H165"/>
  <c r="I23" i="5"/>
  <c r="G24" i="2"/>
  <c r="G165"/>
  <c r="H23" i="5"/>
  <c r="E24" i="2"/>
  <c r="E165"/>
  <c r="F23" i="5"/>
  <c r="D24" i="2"/>
  <c r="D165"/>
  <c r="E23" i="5"/>
  <c r="C24" i="2"/>
  <c r="C165"/>
  <c r="D23" i="5"/>
  <c r="B24" i="2"/>
  <c r="B165"/>
  <c r="C23" i="5"/>
  <c r="Q23" i="2"/>
  <c r="Q164"/>
  <c r="R22" i="5"/>
  <c r="P23" i="2"/>
  <c r="P164"/>
  <c r="Q22" i="5"/>
  <c r="O23" i="2"/>
  <c r="O164"/>
  <c r="P22" i="5"/>
  <c r="N23" i="2"/>
  <c r="N164"/>
  <c r="O22" i="5"/>
  <c r="M23" i="2"/>
  <c r="M164"/>
  <c r="N22" i="5"/>
  <c r="L23" i="2"/>
  <c r="L164"/>
  <c r="M22" i="5"/>
  <c r="K23" i="2"/>
  <c r="K164"/>
  <c r="L22" i="5"/>
  <c r="J23" i="2"/>
  <c r="J164"/>
  <c r="K22" i="5"/>
  <c r="I23" i="2"/>
  <c r="I164"/>
  <c r="H23"/>
  <c r="H164"/>
  <c r="I22" i="5"/>
  <c r="G23" i="2"/>
  <c r="G164"/>
  <c r="H22" i="5"/>
  <c r="E23" i="2"/>
  <c r="E164"/>
  <c r="F22" i="5"/>
  <c r="D23" i="2"/>
  <c r="D164"/>
  <c r="E22" i="5"/>
  <c r="C23" i="2"/>
  <c r="C164"/>
  <c r="D22" i="5"/>
  <c r="B23" i="2"/>
  <c r="B164"/>
  <c r="C22" i="5"/>
  <c r="Q22" i="2"/>
  <c r="Q163"/>
  <c r="R21" i="5"/>
  <c r="P22" i="2"/>
  <c r="P163"/>
  <c r="O22"/>
  <c r="O163"/>
  <c r="P21" i="5"/>
  <c r="N22" i="2"/>
  <c r="N163"/>
  <c r="O21" i="5"/>
  <c r="M22" i="2"/>
  <c r="M163"/>
  <c r="N21" i="5"/>
  <c r="L22" i="2"/>
  <c r="L163"/>
  <c r="M21" i="5"/>
  <c r="K22" i="2"/>
  <c r="K163"/>
  <c r="L21" i="5"/>
  <c r="J22" i="2"/>
  <c r="J163"/>
  <c r="K21" i="5"/>
  <c r="I22" i="2"/>
  <c r="I163"/>
  <c r="J21" i="5"/>
  <c r="H22" i="2"/>
  <c r="H163"/>
  <c r="I21" i="5"/>
  <c r="G22" i="2"/>
  <c r="G163"/>
  <c r="H21" i="5"/>
  <c r="E22" i="2"/>
  <c r="E163"/>
  <c r="F21" i="5"/>
  <c r="D22" i="2"/>
  <c r="D163"/>
  <c r="E21" i="5"/>
  <c r="C22" i="2"/>
  <c r="C163"/>
  <c r="D21" i="5"/>
  <c r="B22" i="2"/>
  <c r="B163"/>
  <c r="C21" i="5"/>
  <c r="Q21" i="2"/>
  <c r="Q162"/>
  <c r="R20" i="5"/>
  <c r="P21" i="2"/>
  <c r="P162"/>
  <c r="Q20" i="5"/>
  <c r="O21" i="2"/>
  <c r="O162"/>
  <c r="P20" i="5"/>
  <c r="N21" i="2"/>
  <c r="N162"/>
  <c r="O20" i="5"/>
  <c r="M21" i="2"/>
  <c r="M162"/>
  <c r="N20" i="5"/>
  <c r="L21" i="2"/>
  <c r="L162"/>
  <c r="M20" i="5"/>
  <c r="K21" i="2"/>
  <c r="K162"/>
  <c r="L20" i="5"/>
  <c r="J21" i="2"/>
  <c r="J162"/>
  <c r="K20" i="5"/>
  <c r="I21" i="2"/>
  <c r="I162"/>
  <c r="J20" i="5"/>
  <c r="H21" i="2"/>
  <c r="H162"/>
  <c r="I20" i="5"/>
  <c r="G21" i="2"/>
  <c r="G162"/>
  <c r="H20" i="5"/>
  <c r="E21" i="2"/>
  <c r="E162"/>
  <c r="F20" i="5"/>
  <c r="D21" i="2"/>
  <c r="D162"/>
  <c r="E20" i="5"/>
  <c r="C21" i="2"/>
  <c r="C162"/>
  <c r="D20" i="5"/>
  <c r="B21" i="2"/>
  <c r="Q20"/>
  <c r="Q161"/>
  <c r="R19" i="5"/>
  <c r="P20" i="2"/>
  <c r="P161"/>
  <c r="Q19" i="5"/>
  <c r="O20" i="2"/>
  <c r="O161"/>
  <c r="P19" i="5"/>
  <c r="N20" i="2"/>
  <c r="N161"/>
  <c r="O19" i="5"/>
  <c r="M20" i="2"/>
  <c r="M161"/>
  <c r="N19" i="5"/>
  <c r="L20" i="2"/>
  <c r="L161"/>
  <c r="M19" i="5"/>
  <c r="K20" i="2"/>
  <c r="K161"/>
  <c r="L19" i="5"/>
  <c r="J20" i="2"/>
  <c r="J161"/>
  <c r="K19" i="5"/>
  <c r="I20" i="2"/>
  <c r="I161"/>
  <c r="J19" i="5"/>
  <c r="H20" i="2"/>
  <c r="H161"/>
  <c r="I19" i="5"/>
  <c r="G20" i="2"/>
  <c r="G161"/>
  <c r="H19" i="5"/>
  <c r="E20" i="2"/>
  <c r="E161"/>
  <c r="F19" i="5"/>
  <c r="D20" i="2"/>
  <c r="D161"/>
  <c r="E19" i="5"/>
  <c r="C20" i="2"/>
  <c r="C161"/>
  <c r="D19" i="5"/>
  <c r="B20" i="2"/>
  <c r="B161"/>
  <c r="C19" i="5"/>
  <c r="Q19" i="2"/>
  <c r="Q160"/>
  <c r="R18" i="5"/>
  <c r="P19" i="2"/>
  <c r="P160"/>
  <c r="Q18" i="5"/>
  <c r="O19" i="2"/>
  <c r="O160"/>
  <c r="P18" i="5"/>
  <c r="N19" i="2"/>
  <c r="N160"/>
  <c r="O18" i="5"/>
  <c r="M19" i="2"/>
  <c r="M160"/>
  <c r="N18" i="5"/>
  <c r="L19" i="2"/>
  <c r="L160"/>
  <c r="M18" i="5"/>
  <c r="K19" i="2"/>
  <c r="K160"/>
  <c r="L18" i="5"/>
  <c r="J19" i="2"/>
  <c r="J160"/>
  <c r="I19"/>
  <c r="I160"/>
  <c r="J18" i="5"/>
  <c r="H19" i="2"/>
  <c r="H160"/>
  <c r="I18" i="5"/>
  <c r="G19" i="2"/>
  <c r="G160"/>
  <c r="H18" i="5"/>
  <c r="E19" i="2"/>
  <c r="E160"/>
  <c r="F18" i="5"/>
  <c r="D19" i="2"/>
  <c r="D160"/>
  <c r="E18" i="5"/>
  <c r="C19" i="2"/>
  <c r="C160"/>
  <c r="D18" i="5"/>
  <c r="B19" i="2"/>
  <c r="Q18"/>
  <c r="Q159"/>
  <c r="R17" i="5"/>
  <c r="R252"/>
  <c r="P18" i="2"/>
  <c r="P159"/>
  <c r="O18"/>
  <c r="O159"/>
  <c r="P17" i="5"/>
  <c r="P252"/>
  <c r="N18" i="2"/>
  <c r="N159"/>
  <c r="O17" i="5"/>
  <c r="O252"/>
  <c r="M18" i="2"/>
  <c r="M159"/>
  <c r="N17" i="5"/>
  <c r="N252"/>
  <c r="L18" i="2"/>
  <c r="L159"/>
  <c r="M17" i="5"/>
  <c r="M252"/>
  <c r="K18" i="2"/>
  <c r="K159"/>
  <c r="L17" i="5"/>
  <c r="L252"/>
  <c r="J18" i="2"/>
  <c r="J159"/>
  <c r="K17" i="5"/>
  <c r="K252"/>
  <c r="I18" i="2"/>
  <c r="I159"/>
  <c r="J17" i="5"/>
  <c r="J252"/>
  <c r="H18" i="2"/>
  <c r="H159"/>
  <c r="I17" i="5"/>
  <c r="I252"/>
  <c r="G18" i="2"/>
  <c r="G159"/>
  <c r="H17" i="5"/>
  <c r="H252"/>
  <c r="E18" i="2"/>
  <c r="E159"/>
  <c r="F17" i="5"/>
  <c r="F252"/>
  <c r="D18" i="2"/>
  <c r="D159"/>
  <c r="E17" i="5"/>
  <c r="C18" i="2"/>
  <c r="C159"/>
  <c r="D17" i="5"/>
  <c r="D252"/>
  <c r="B18" i="2"/>
  <c r="B159"/>
  <c r="Q17"/>
  <c r="Q158"/>
  <c r="R16" i="5"/>
  <c r="R251"/>
  <c r="P17" i="2"/>
  <c r="P158"/>
  <c r="Q16" i="5"/>
  <c r="Q251"/>
  <c r="O17" i="2"/>
  <c r="O158"/>
  <c r="P16" i="5"/>
  <c r="P251"/>
  <c r="N17" i="2"/>
  <c r="N158"/>
  <c r="O16" i="5"/>
  <c r="O251"/>
  <c r="M17" i="2"/>
  <c r="M158"/>
  <c r="N16" i="5"/>
  <c r="N251"/>
  <c r="L17" i="2"/>
  <c r="L158"/>
  <c r="M16" i="5"/>
  <c r="M251"/>
  <c r="K17" i="2"/>
  <c r="K158"/>
  <c r="L16" i="5"/>
  <c r="L251"/>
  <c r="J17" i="2"/>
  <c r="J158"/>
  <c r="K16" i="5"/>
  <c r="K251"/>
  <c r="I17" i="2"/>
  <c r="I158"/>
  <c r="J16" i="5"/>
  <c r="J251"/>
  <c r="H17" i="2"/>
  <c r="H158"/>
  <c r="I16" i="5"/>
  <c r="I251"/>
  <c r="G17" i="2"/>
  <c r="G158"/>
  <c r="H16" i="5"/>
  <c r="H251"/>
  <c r="E17" i="2"/>
  <c r="E158"/>
  <c r="F16" i="5"/>
  <c r="F251"/>
  <c r="D17" i="2"/>
  <c r="D158"/>
  <c r="E16" i="5"/>
  <c r="C17" i="2"/>
  <c r="C158"/>
  <c r="D16" i="5"/>
  <c r="D251"/>
  <c r="B17" i="2"/>
  <c r="B158"/>
  <c r="Q16"/>
  <c r="Q157"/>
  <c r="R15" i="5"/>
  <c r="R250"/>
  <c r="P16" i="2"/>
  <c r="P157"/>
  <c r="Q15" i="5"/>
  <c r="Q250"/>
  <c r="O16" i="2"/>
  <c r="O157"/>
  <c r="P15" i="5"/>
  <c r="P250"/>
  <c r="N16" i="2"/>
  <c r="N157"/>
  <c r="O15" i="5"/>
  <c r="O250"/>
  <c r="M16" i="2"/>
  <c r="M157"/>
  <c r="N15" i="5"/>
  <c r="N250"/>
  <c r="L16" i="2"/>
  <c r="L157"/>
  <c r="M15" i="5"/>
  <c r="M250"/>
  <c r="K16" i="2"/>
  <c r="K157"/>
  <c r="L15" i="5"/>
  <c r="L250"/>
  <c r="J16" i="2"/>
  <c r="J157"/>
  <c r="K15" i="5"/>
  <c r="K250"/>
  <c r="I16" i="2"/>
  <c r="I157"/>
  <c r="J15" i="5"/>
  <c r="J250"/>
  <c r="H16" i="2"/>
  <c r="H157"/>
  <c r="I15" i="5"/>
  <c r="I250"/>
  <c r="G16" i="2"/>
  <c r="G157"/>
  <c r="H15" i="5"/>
  <c r="H250"/>
  <c r="E16" i="2"/>
  <c r="E157"/>
  <c r="F15" i="5"/>
  <c r="F250"/>
  <c r="D16" i="2"/>
  <c r="D157"/>
  <c r="E15" i="5"/>
  <c r="C16" i="2"/>
  <c r="C157"/>
  <c r="D15" i="5"/>
  <c r="D250"/>
  <c r="B16" i="2"/>
  <c r="Q15"/>
  <c r="Q156"/>
  <c r="P15"/>
  <c r="P156"/>
  <c r="O15"/>
  <c r="O156"/>
  <c r="N15"/>
  <c r="N156"/>
  <c r="M15"/>
  <c r="M156"/>
  <c r="L15"/>
  <c r="L156"/>
  <c r="K15"/>
  <c r="K156"/>
  <c r="J15"/>
  <c r="J156"/>
  <c r="I15"/>
  <c r="I156"/>
  <c r="H15"/>
  <c r="H156"/>
  <c r="G15"/>
  <c r="G156"/>
  <c r="E15"/>
  <c r="E156"/>
  <c r="D15"/>
  <c r="D156"/>
  <c r="C15"/>
  <c r="C156"/>
  <c r="B15"/>
  <c r="B156"/>
  <c r="Q14"/>
  <c r="Q155"/>
  <c r="P14"/>
  <c r="P155"/>
  <c r="O14"/>
  <c r="O155"/>
  <c r="N14"/>
  <c r="N155"/>
  <c r="M14"/>
  <c r="M155"/>
  <c r="L14"/>
  <c r="L155"/>
  <c r="K14"/>
  <c r="K155"/>
  <c r="J14"/>
  <c r="J155"/>
  <c r="I14"/>
  <c r="I155"/>
  <c r="H14"/>
  <c r="H155"/>
  <c r="G14"/>
  <c r="G155"/>
  <c r="E14"/>
  <c r="E155"/>
  <c r="D14"/>
  <c r="D155"/>
  <c r="C14"/>
  <c r="C155"/>
  <c r="B14"/>
  <c r="B155"/>
  <c r="Q13"/>
  <c r="Q154"/>
  <c r="P13"/>
  <c r="P154"/>
  <c r="O13"/>
  <c r="O154"/>
  <c r="N13"/>
  <c r="N154"/>
  <c r="M13"/>
  <c r="M154"/>
  <c r="L13"/>
  <c r="L154"/>
  <c r="K13"/>
  <c r="K154"/>
  <c r="J13"/>
  <c r="J154"/>
  <c r="I13"/>
  <c r="I154"/>
  <c r="H13"/>
  <c r="H154"/>
  <c r="G13"/>
  <c r="G154"/>
  <c r="E13"/>
  <c r="E154"/>
  <c r="D13"/>
  <c r="D154"/>
  <c r="C13"/>
  <c r="C154"/>
  <c r="B13"/>
  <c r="Q12"/>
  <c r="Q153"/>
  <c r="P12"/>
  <c r="P153"/>
  <c r="O12"/>
  <c r="O153"/>
  <c r="N12"/>
  <c r="N153"/>
  <c r="M12"/>
  <c r="M153"/>
  <c r="L12"/>
  <c r="L153"/>
  <c r="K12"/>
  <c r="K153"/>
  <c r="J12"/>
  <c r="J153"/>
  <c r="I12"/>
  <c r="I153"/>
  <c r="H12"/>
  <c r="H153"/>
  <c r="G12"/>
  <c r="G153"/>
  <c r="E12"/>
  <c r="E153"/>
  <c r="D12"/>
  <c r="D153"/>
  <c r="C12"/>
  <c r="C153"/>
  <c r="B12"/>
  <c r="B153"/>
  <c r="Q11"/>
  <c r="Q152"/>
  <c r="P11"/>
  <c r="P152"/>
  <c r="O11"/>
  <c r="O152"/>
  <c r="N11"/>
  <c r="N152"/>
  <c r="M11"/>
  <c r="M152"/>
  <c r="L11"/>
  <c r="L152"/>
  <c r="K11"/>
  <c r="K152"/>
  <c r="J11"/>
  <c r="J152"/>
  <c r="I11"/>
  <c r="I152"/>
  <c r="H11"/>
  <c r="H152"/>
  <c r="G11"/>
  <c r="G152"/>
  <c r="E11"/>
  <c r="E152"/>
  <c r="D11"/>
  <c r="D152"/>
  <c r="C11"/>
  <c r="C152"/>
  <c r="B11"/>
  <c r="Q10"/>
  <c r="Q151"/>
  <c r="P10"/>
  <c r="P151"/>
  <c r="O10"/>
  <c r="O151"/>
  <c r="N10"/>
  <c r="N151"/>
  <c r="M10"/>
  <c r="M151"/>
  <c r="L10"/>
  <c r="L151"/>
  <c r="K10"/>
  <c r="K151"/>
  <c r="J10"/>
  <c r="J151"/>
  <c r="I10"/>
  <c r="I151"/>
  <c r="H10"/>
  <c r="H151"/>
  <c r="G10"/>
  <c r="G151"/>
  <c r="E10"/>
  <c r="E151"/>
  <c r="D10"/>
  <c r="D151"/>
  <c r="C10"/>
  <c r="C151"/>
  <c r="B10"/>
  <c r="Q9"/>
  <c r="Q150"/>
  <c r="P9"/>
  <c r="P150"/>
  <c r="O9"/>
  <c r="O150"/>
  <c r="N9"/>
  <c r="N150"/>
  <c r="M9"/>
  <c r="M150"/>
  <c r="L9"/>
  <c r="L150"/>
  <c r="K9"/>
  <c r="K150"/>
  <c r="J9"/>
  <c r="J150"/>
  <c r="I9"/>
  <c r="I150"/>
  <c r="H9"/>
  <c r="H150"/>
  <c r="G9"/>
  <c r="G150"/>
  <c r="E9"/>
  <c r="E150"/>
  <c r="D9"/>
  <c r="D150"/>
  <c r="C9"/>
  <c r="C150"/>
  <c r="B9"/>
  <c r="Q8"/>
  <c r="Q149"/>
  <c r="P8"/>
  <c r="P149"/>
  <c r="O8"/>
  <c r="O149"/>
  <c r="N8"/>
  <c r="N149"/>
  <c r="M8"/>
  <c r="M149"/>
  <c r="L8"/>
  <c r="L149"/>
  <c r="K8"/>
  <c r="K149"/>
  <c r="J8"/>
  <c r="J149"/>
  <c r="I8"/>
  <c r="I149"/>
  <c r="H8"/>
  <c r="H149"/>
  <c r="G8"/>
  <c r="G149"/>
  <c r="E8"/>
  <c r="E149"/>
  <c r="D8"/>
  <c r="D149"/>
  <c r="C8"/>
  <c r="C149"/>
  <c r="B8"/>
  <c r="B149"/>
  <c r="Q7"/>
  <c r="Q148"/>
  <c r="P7"/>
  <c r="P148"/>
  <c r="O7"/>
  <c r="O148"/>
  <c r="N7"/>
  <c r="N148"/>
  <c r="M7"/>
  <c r="M148"/>
  <c r="L7"/>
  <c r="L148"/>
  <c r="K7"/>
  <c r="K148"/>
  <c r="J7"/>
  <c r="J148"/>
  <c r="I7"/>
  <c r="I148"/>
  <c r="H7"/>
  <c r="H148"/>
  <c r="G7"/>
  <c r="G148"/>
  <c r="E7"/>
  <c r="E148"/>
  <c r="D7"/>
  <c r="D148"/>
  <c r="C7"/>
  <c r="C148"/>
  <c r="B7"/>
  <c r="B148"/>
  <c r="L211"/>
  <c r="M186" i="5"/>
  <c r="M307"/>
  <c r="M384"/>
  <c r="K62" i="3"/>
  <c r="P211" i="2"/>
  <c r="I212"/>
  <c r="J213"/>
  <c r="K188" i="5"/>
  <c r="K309"/>
  <c r="K386"/>
  <c r="I64" i="3"/>
  <c r="N213" i="2"/>
  <c r="O188" i="5"/>
  <c r="O309"/>
  <c r="O386"/>
  <c r="M64" i="3"/>
  <c r="G214" i="2"/>
  <c r="L215"/>
  <c r="P215"/>
  <c r="Q73" i="5"/>
  <c r="D216" i="2"/>
  <c r="I216"/>
  <c r="J217"/>
  <c r="N217"/>
  <c r="O192" i="5"/>
  <c r="G218" i="2"/>
  <c r="H193" i="5"/>
  <c r="L219" i="2"/>
  <c r="P219"/>
  <c r="D220"/>
  <c r="E78" i="5"/>
  <c r="I220" i="2"/>
  <c r="J78" i="5"/>
  <c r="J221" i="2"/>
  <c r="N221"/>
  <c r="G222"/>
  <c r="H80" i="5"/>
  <c r="H273"/>
  <c r="L223" i="2"/>
  <c r="M81" i="5"/>
  <c r="P223" i="2"/>
  <c r="I224"/>
  <c r="J225"/>
  <c r="N225"/>
  <c r="G226"/>
  <c r="H84" i="5"/>
  <c r="L227" i="2"/>
  <c r="P227"/>
  <c r="Q85" i="5"/>
  <c r="D228" i="2"/>
  <c r="E86" i="5"/>
  <c r="I228" i="2"/>
  <c r="A251"/>
  <c r="A97"/>
  <c r="L212"/>
  <c r="M187" i="5"/>
  <c r="M308"/>
  <c r="M385"/>
  <c r="K63" i="3"/>
  <c r="L216" i="2"/>
  <c r="L220"/>
  <c r="L228"/>
  <c r="B231"/>
  <c r="C89" i="5"/>
  <c r="J211" i="2"/>
  <c r="N211"/>
  <c r="N215"/>
  <c r="O190" i="5"/>
  <c r="J219" i="2"/>
  <c r="J227"/>
  <c r="N227"/>
  <c r="F218"/>
  <c r="G76" i="5"/>
  <c r="F214" i="2"/>
  <c r="G72" i="5"/>
  <c r="B256" i="2"/>
  <c r="N219"/>
  <c r="O77" i="5"/>
  <c r="R30"/>
  <c r="R259"/>
  <c r="R339"/>
  <c r="R147"/>
  <c r="R298"/>
  <c r="R375"/>
  <c r="R58"/>
  <c r="R175"/>
  <c r="R74"/>
  <c r="R191"/>
  <c r="R104"/>
  <c r="R212"/>
  <c r="R222"/>
  <c r="R114"/>
  <c r="R137"/>
  <c r="R11"/>
  <c r="R27"/>
  <c r="R256"/>
  <c r="R336"/>
  <c r="R144"/>
  <c r="R295"/>
  <c r="R372"/>
  <c r="R31"/>
  <c r="R260"/>
  <c r="R340"/>
  <c r="R148"/>
  <c r="R299"/>
  <c r="R376"/>
  <c r="R35"/>
  <c r="R264"/>
  <c r="R344"/>
  <c r="R152"/>
  <c r="R303"/>
  <c r="R380"/>
  <c r="R39"/>
  <c r="R156"/>
  <c r="R43"/>
  <c r="R160"/>
  <c r="R47"/>
  <c r="R164"/>
  <c r="R51"/>
  <c r="R168"/>
  <c r="R55"/>
  <c r="R172"/>
  <c r="R59"/>
  <c r="R176"/>
  <c r="R63"/>
  <c r="R180"/>
  <c r="R67"/>
  <c r="R184"/>
  <c r="R71"/>
  <c r="R188"/>
  <c r="R309"/>
  <c r="R386"/>
  <c r="R75"/>
  <c r="R192"/>
  <c r="R91"/>
  <c r="R278"/>
  <c r="R355"/>
  <c r="R199"/>
  <c r="R314"/>
  <c r="R391"/>
  <c r="R92"/>
  <c r="R279"/>
  <c r="R356"/>
  <c r="R200"/>
  <c r="R315"/>
  <c r="R392"/>
  <c r="R101"/>
  <c r="R288"/>
  <c r="R365"/>
  <c r="R209"/>
  <c r="R324"/>
  <c r="R401"/>
  <c r="R103"/>
  <c r="R211"/>
  <c r="R105"/>
  <c r="R213"/>
  <c r="R112"/>
  <c r="R220"/>
  <c r="R229"/>
  <c r="R121"/>
  <c r="R238"/>
  <c r="R130"/>
  <c r="R127"/>
  <c r="R235"/>
  <c r="R230"/>
  <c r="R122"/>
  <c r="R111"/>
  <c r="R219"/>
  <c r="R214"/>
  <c r="R106"/>
  <c r="G211" i="2"/>
  <c r="P212"/>
  <c r="Q187" i="5"/>
  <c r="I213" i="2"/>
  <c r="J188" i="5"/>
  <c r="J214" i="2"/>
  <c r="K72" i="5"/>
  <c r="N214" i="2"/>
  <c r="P216"/>
  <c r="Q191" i="5"/>
  <c r="I217" i="2"/>
  <c r="J75" i="5"/>
  <c r="J218" i="2"/>
  <c r="K76" i="5"/>
  <c r="N218" i="2"/>
  <c r="P220"/>
  <c r="Q78" i="5"/>
  <c r="I221" i="2"/>
  <c r="J79" i="5"/>
  <c r="J222" i="2"/>
  <c r="N222"/>
  <c r="G223"/>
  <c r="H81" i="5"/>
  <c r="P224" i="2"/>
  <c r="Q82" i="5"/>
  <c r="I225" i="2"/>
  <c r="J83" i="5"/>
  <c r="J226" i="2"/>
  <c r="N226"/>
  <c r="P228"/>
  <c r="Q86" i="5"/>
  <c r="A110" i="2"/>
  <c r="A40"/>
  <c r="R136" i="5"/>
  <c r="R10"/>
  <c r="R26"/>
  <c r="R255"/>
  <c r="R335"/>
  <c r="R143"/>
  <c r="R294"/>
  <c r="R371"/>
  <c r="R34"/>
  <c r="R263"/>
  <c r="R343"/>
  <c r="R151"/>
  <c r="R302"/>
  <c r="R379"/>
  <c r="R38"/>
  <c r="R267"/>
  <c r="R155"/>
  <c r="R306"/>
  <c r="R383"/>
  <c r="R42"/>
  <c r="R159"/>
  <c r="R50"/>
  <c r="R167"/>
  <c r="R54"/>
  <c r="R171"/>
  <c r="R198"/>
  <c r="R313"/>
  <c r="R390"/>
  <c r="R90"/>
  <c r="R277"/>
  <c r="R354"/>
  <c r="R99"/>
  <c r="R286"/>
  <c r="R363"/>
  <c r="R207"/>
  <c r="R322"/>
  <c r="R399"/>
  <c r="R129"/>
  <c r="R237"/>
  <c r="R125"/>
  <c r="R233"/>
  <c r="R109"/>
  <c r="R217"/>
  <c r="R133"/>
  <c r="R290"/>
  <c r="R367"/>
  <c r="R7"/>
  <c r="R248"/>
  <c r="R331"/>
  <c r="R8"/>
  <c r="R249"/>
  <c r="R332"/>
  <c r="R134"/>
  <c r="R291"/>
  <c r="R368"/>
  <c r="R12"/>
  <c r="R138"/>
  <c r="R24"/>
  <c r="R253"/>
  <c r="R333"/>
  <c r="R141"/>
  <c r="R292"/>
  <c r="R369"/>
  <c r="R28"/>
  <c r="R145"/>
  <c r="R296"/>
  <c r="R373"/>
  <c r="R32"/>
  <c r="R261"/>
  <c r="R341"/>
  <c r="R149"/>
  <c r="R300"/>
  <c r="R377"/>
  <c r="R36"/>
  <c r="R265"/>
  <c r="R153"/>
  <c r="R304"/>
  <c r="R381"/>
  <c r="R40"/>
  <c r="R157"/>
  <c r="R44"/>
  <c r="R161"/>
  <c r="R48"/>
  <c r="R165"/>
  <c r="R52"/>
  <c r="R169"/>
  <c r="R56"/>
  <c r="R173"/>
  <c r="R60"/>
  <c r="R177"/>
  <c r="R64"/>
  <c r="R181"/>
  <c r="R68"/>
  <c r="R185"/>
  <c r="R72"/>
  <c r="R189"/>
  <c r="R76"/>
  <c r="R193"/>
  <c r="R96"/>
  <c r="R283"/>
  <c r="R360"/>
  <c r="R204"/>
  <c r="R319"/>
  <c r="R396"/>
  <c r="R231"/>
  <c r="R123"/>
  <c r="R126"/>
  <c r="R234"/>
  <c r="R128"/>
  <c r="R236"/>
  <c r="R119"/>
  <c r="R227"/>
  <c r="R202"/>
  <c r="R317"/>
  <c r="R394"/>
  <c r="R94"/>
  <c r="R281"/>
  <c r="R358"/>
  <c r="L213" i="2"/>
  <c r="P213"/>
  <c r="I214"/>
  <c r="J72" i="5"/>
  <c r="L217" i="2"/>
  <c r="M75" i="5"/>
  <c r="P217" i="2"/>
  <c r="Q192" i="5"/>
  <c r="I218" i="2"/>
  <c r="L221"/>
  <c r="P221"/>
  <c r="I222"/>
  <c r="L225"/>
  <c r="P225"/>
  <c r="I226"/>
  <c r="A125"/>
  <c r="A76"/>
  <c r="B267"/>
  <c r="C125" i="5"/>
  <c r="B247" i="2"/>
  <c r="C105" i="5"/>
  <c r="R132"/>
  <c r="R289"/>
  <c r="R366"/>
  <c r="R6"/>
  <c r="R247"/>
  <c r="R330"/>
  <c r="R140"/>
  <c r="R14"/>
  <c r="R46"/>
  <c r="R163"/>
  <c r="R62"/>
  <c r="R179"/>
  <c r="R66"/>
  <c r="R183"/>
  <c r="R70"/>
  <c r="R187"/>
  <c r="R308"/>
  <c r="R385"/>
  <c r="R89"/>
  <c r="R276"/>
  <c r="R353"/>
  <c r="R197"/>
  <c r="R312"/>
  <c r="R389"/>
  <c r="R108"/>
  <c r="R216"/>
  <c r="R116"/>
  <c r="R224"/>
  <c r="R120"/>
  <c r="R228"/>
  <c r="R226"/>
  <c r="R118"/>
  <c r="R135"/>
  <c r="R9"/>
  <c r="R139"/>
  <c r="R13"/>
  <c r="R142"/>
  <c r="R293"/>
  <c r="R370"/>
  <c r="R25"/>
  <c r="R254"/>
  <c r="R334"/>
  <c r="R29"/>
  <c r="R146"/>
  <c r="R297"/>
  <c r="R374"/>
  <c r="R33"/>
  <c r="R262"/>
  <c r="R342"/>
  <c r="R150"/>
  <c r="R301"/>
  <c r="R378"/>
  <c r="R154"/>
  <c r="R305"/>
  <c r="R382"/>
  <c r="R37"/>
  <c r="R266"/>
  <c r="R41"/>
  <c r="R158"/>
  <c r="R45"/>
  <c r="R162"/>
  <c r="R166"/>
  <c r="R49"/>
  <c r="R53"/>
  <c r="R170"/>
  <c r="R57"/>
  <c r="R174"/>
  <c r="R178"/>
  <c r="R61"/>
  <c r="R65"/>
  <c r="R182"/>
  <c r="R69"/>
  <c r="R268"/>
  <c r="R186"/>
  <c r="R307"/>
  <c r="R384"/>
  <c r="R190"/>
  <c r="R73"/>
  <c r="R77"/>
  <c r="R194"/>
  <c r="R88"/>
  <c r="R275"/>
  <c r="R352"/>
  <c r="R196"/>
  <c r="R311"/>
  <c r="R388"/>
  <c r="R93"/>
  <c r="R280"/>
  <c r="R357"/>
  <c r="R201"/>
  <c r="R316"/>
  <c r="R393"/>
  <c r="R203"/>
  <c r="R318"/>
  <c r="R395"/>
  <c r="R95"/>
  <c r="R282"/>
  <c r="R359"/>
  <c r="R97"/>
  <c r="R284"/>
  <c r="R361"/>
  <c r="R205"/>
  <c r="R320"/>
  <c r="R397"/>
  <c r="R206"/>
  <c r="R321"/>
  <c r="R398"/>
  <c r="R98"/>
  <c r="R285"/>
  <c r="R362"/>
  <c r="R100"/>
  <c r="R287"/>
  <c r="R364"/>
  <c r="R208"/>
  <c r="R323"/>
  <c r="R400"/>
  <c r="R215"/>
  <c r="R107"/>
  <c r="R110"/>
  <c r="R218"/>
  <c r="R113"/>
  <c r="R221"/>
  <c r="R117"/>
  <c r="R225"/>
  <c r="R124"/>
  <c r="R232"/>
  <c r="R131"/>
  <c r="R239"/>
  <c r="R115"/>
  <c r="R223"/>
  <c r="R210"/>
  <c r="R102"/>
  <c r="F225" i="2"/>
  <c r="G83" i="5"/>
  <c r="F221" i="2"/>
  <c r="G79" i="5"/>
  <c r="F217" i="2"/>
  <c r="G75" i="5"/>
  <c r="F213" i="2"/>
  <c r="A89"/>
  <c r="B250"/>
  <c r="C108" i="5"/>
  <c r="R87"/>
  <c r="R274"/>
  <c r="R351"/>
  <c r="R195"/>
  <c r="R310"/>
  <c r="R387"/>
  <c r="B22"/>
  <c r="B19"/>
  <c r="B23"/>
  <c r="B80"/>
  <c r="A194" i="2"/>
  <c r="C169" i="5"/>
  <c r="C52"/>
  <c r="J132"/>
  <c r="J6"/>
  <c r="J247"/>
  <c r="I211" i="2"/>
  <c r="N132" i="5"/>
  <c r="N289"/>
  <c r="N366"/>
  <c r="L44" i="3"/>
  <c r="N6" i="5"/>
  <c r="N247"/>
  <c r="F133"/>
  <c r="F290"/>
  <c r="F367"/>
  <c r="D45" i="3"/>
  <c r="F7" i="5"/>
  <c r="F248"/>
  <c r="F331"/>
  <c r="D9" i="3"/>
  <c r="O133" i="5"/>
  <c r="O290"/>
  <c r="O367"/>
  <c r="M45" i="3"/>
  <c r="O7" i="5"/>
  <c r="O248"/>
  <c r="O331"/>
  <c r="M9" i="3"/>
  <c r="H134" i="5"/>
  <c r="H291"/>
  <c r="H368"/>
  <c r="F46" i="3"/>
  <c r="H8" i="5"/>
  <c r="H249"/>
  <c r="H332"/>
  <c r="F10" i="3"/>
  <c r="P134" i="5"/>
  <c r="P291"/>
  <c r="P368"/>
  <c r="N46" i="3"/>
  <c r="P8" i="5"/>
  <c r="P249"/>
  <c r="P332"/>
  <c r="N10" i="3"/>
  <c r="I135" i="5"/>
  <c r="I9"/>
  <c r="M135"/>
  <c r="M9"/>
  <c r="E136"/>
  <c r="E10"/>
  <c r="J136"/>
  <c r="J10"/>
  <c r="I215" i="2"/>
  <c r="N136" i="5"/>
  <c r="N10"/>
  <c r="F137"/>
  <c r="F11"/>
  <c r="O137"/>
  <c r="O11"/>
  <c r="H138"/>
  <c r="H12"/>
  <c r="P138"/>
  <c r="P12"/>
  <c r="I139"/>
  <c r="I13"/>
  <c r="Q139"/>
  <c r="Q13"/>
  <c r="P218" i="2"/>
  <c r="J140" i="5"/>
  <c r="J14"/>
  <c r="I219" i="2"/>
  <c r="N140" i="5"/>
  <c r="N14"/>
  <c r="Q17"/>
  <c r="Q252"/>
  <c r="P222" i="2"/>
  <c r="Q21" i="5"/>
  <c r="P226" i="2"/>
  <c r="J22" i="5"/>
  <c r="I227" i="2"/>
  <c r="B166"/>
  <c r="A25"/>
  <c r="L141" i="5"/>
  <c r="L292"/>
  <c r="L369"/>
  <c r="J47" i="3"/>
  <c r="L24" i="5"/>
  <c r="L253"/>
  <c r="L333"/>
  <c r="J11" i="3"/>
  <c r="I142" i="5"/>
  <c r="I293"/>
  <c r="I370"/>
  <c r="G48" i="3"/>
  <c r="I25" i="5"/>
  <c r="I254"/>
  <c r="I334"/>
  <c r="G12" i="3"/>
  <c r="E143" i="5"/>
  <c r="E26"/>
  <c r="A170" i="2"/>
  <c r="C145" i="5"/>
  <c r="C296"/>
  <c r="C373"/>
  <c r="A51" i="3"/>
  <c r="C28" i="5"/>
  <c r="L145"/>
  <c r="L296"/>
  <c r="L373"/>
  <c r="J51" i="3"/>
  <c r="L28" i="5"/>
  <c r="D146"/>
  <c r="D297"/>
  <c r="D374"/>
  <c r="B52" i="3"/>
  <c r="D29" i="5"/>
  <c r="M29"/>
  <c r="M146"/>
  <c r="M297"/>
  <c r="M374"/>
  <c r="K52" i="3"/>
  <c r="L234" i="2"/>
  <c r="M200" i="5"/>
  <c r="M315"/>
  <c r="M392"/>
  <c r="K70" i="3"/>
  <c r="E147" i="5"/>
  <c r="E30"/>
  <c r="N147"/>
  <c r="N298"/>
  <c r="N375"/>
  <c r="L53" i="3"/>
  <c r="N30" i="5"/>
  <c r="N259"/>
  <c r="N339"/>
  <c r="L17" i="3"/>
  <c r="D150" i="5"/>
  <c r="D301"/>
  <c r="D378"/>
  <c r="B56" i="3"/>
  <c r="D33" i="5"/>
  <c r="D262"/>
  <c r="D342"/>
  <c r="B20" i="3"/>
  <c r="E133" i="5"/>
  <c r="E7"/>
  <c r="C146"/>
  <c r="C297"/>
  <c r="C374"/>
  <c r="A52" i="3"/>
  <c r="C29" i="5"/>
  <c r="E164"/>
  <c r="E47"/>
  <c r="D252" i="2"/>
  <c r="E110" i="5"/>
  <c r="C232"/>
  <c r="C124"/>
  <c r="O186"/>
  <c r="O307"/>
  <c r="O384"/>
  <c r="M62" i="3"/>
  <c r="O69" i="5"/>
  <c r="O85"/>
  <c r="K18"/>
  <c r="J223" i="2"/>
  <c r="P148" i="5"/>
  <c r="P299"/>
  <c r="P376"/>
  <c r="N54" i="3"/>
  <c r="P31" i="5"/>
  <c r="P260"/>
  <c r="P340"/>
  <c r="N18" i="3"/>
  <c r="M169" i="5"/>
  <c r="M52"/>
  <c r="L257" i="2"/>
  <c r="M223" i="5"/>
  <c r="N190"/>
  <c r="N73"/>
  <c r="L192"/>
  <c r="L75"/>
  <c r="A230" i="2"/>
  <c r="C196" i="5"/>
  <c r="C311"/>
  <c r="C388"/>
  <c r="A66" i="3"/>
  <c r="C88" i="5"/>
  <c r="A159" i="2"/>
  <c r="C17" i="5"/>
  <c r="K73"/>
  <c r="K190"/>
  <c r="A18" i="2"/>
  <c r="I223"/>
  <c r="J212"/>
  <c r="N212"/>
  <c r="L214"/>
  <c r="J216"/>
  <c r="N216"/>
  <c r="L218"/>
  <c r="J220"/>
  <c r="N220"/>
  <c r="L222"/>
  <c r="J224"/>
  <c r="N224"/>
  <c r="L226"/>
  <c r="J228"/>
  <c r="N228"/>
  <c r="E132" i="5"/>
  <c r="E6"/>
  <c r="K7"/>
  <c r="K248"/>
  <c r="K331"/>
  <c r="I9" i="3"/>
  <c r="K133" i="5"/>
  <c r="K290"/>
  <c r="K367"/>
  <c r="I45" i="3"/>
  <c r="A9" i="2"/>
  <c r="B150"/>
  <c r="L134" i="5"/>
  <c r="L291"/>
  <c r="L368"/>
  <c r="J46" i="3"/>
  <c r="L8" i="5"/>
  <c r="L249"/>
  <c r="L332"/>
  <c r="J10" i="3"/>
  <c r="D135" i="5"/>
  <c r="D9"/>
  <c r="Q135"/>
  <c r="Q9"/>
  <c r="P214" i="2"/>
  <c r="K137" i="5"/>
  <c r="K11"/>
  <c r="B154" i="2"/>
  <c r="A13"/>
  <c r="L138" i="5"/>
  <c r="L12"/>
  <c r="D139"/>
  <c r="D13"/>
  <c r="M139"/>
  <c r="M13"/>
  <c r="E140"/>
  <c r="E14"/>
  <c r="A158" i="2"/>
  <c r="C16" i="5"/>
  <c r="H24"/>
  <c r="H141"/>
  <c r="H292"/>
  <c r="H369"/>
  <c r="F47" i="3"/>
  <c r="P141" i="5"/>
  <c r="P292"/>
  <c r="P369"/>
  <c r="N47" i="3"/>
  <c r="P24" i="5"/>
  <c r="P253"/>
  <c r="P333"/>
  <c r="N11" i="3"/>
  <c r="D142" i="5"/>
  <c r="D293"/>
  <c r="D370"/>
  <c r="B48" i="3"/>
  <c r="D25" i="5"/>
  <c r="D254"/>
  <c r="D334"/>
  <c r="B12" i="3"/>
  <c r="M25" i="5"/>
  <c r="M142"/>
  <c r="M293"/>
  <c r="M370"/>
  <c r="K48" i="3"/>
  <c r="L230" i="2"/>
  <c r="M196" i="5"/>
  <c r="M311"/>
  <c r="M388"/>
  <c r="K66" i="3"/>
  <c r="Q142" i="5"/>
  <c r="Q25"/>
  <c r="P230" i="2"/>
  <c r="Q196" i="5"/>
  <c r="J143"/>
  <c r="J26"/>
  <c r="I231" i="2"/>
  <c r="J197" i="5"/>
  <c r="N143"/>
  <c r="N294"/>
  <c r="N371"/>
  <c r="L49" i="3"/>
  <c r="N26" i="5"/>
  <c r="N255"/>
  <c r="N335"/>
  <c r="L13" i="3"/>
  <c r="F144" i="5"/>
  <c r="F295"/>
  <c r="F372"/>
  <c r="D50" i="3"/>
  <c r="F27" i="5"/>
  <c r="F256"/>
  <c r="F336"/>
  <c r="D14" i="3"/>
  <c r="K144" i="5"/>
  <c r="K295"/>
  <c r="K372"/>
  <c r="I50" i="3"/>
  <c r="K27" i="5"/>
  <c r="J232" i="2"/>
  <c r="O144" i="5"/>
  <c r="O295"/>
  <c r="O372"/>
  <c r="M50" i="3"/>
  <c r="O27" i="5"/>
  <c r="N232" i="2"/>
  <c r="O90" i="5"/>
  <c r="H28"/>
  <c r="H145"/>
  <c r="H296"/>
  <c r="H373"/>
  <c r="F51" i="3"/>
  <c r="P145" i="5"/>
  <c r="P296"/>
  <c r="P373"/>
  <c r="N51" i="3"/>
  <c r="P28" i="5"/>
  <c r="I146"/>
  <c r="I297"/>
  <c r="I374"/>
  <c r="G52" i="3"/>
  <c r="I29" i="5"/>
  <c r="Q146"/>
  <c r="Q29"/>
  <c r="P234" i="2"/>
  <c r="Q92" i="5"/>
  <c r="J147"/>
  <c r="J30"/>
  <c r="I235" i="2"/>
  <c r="J201" i="5"/>
  <c r="F148"/>
  <c r="F299"/>
  <c r="F376"/>
  <c r="D54" i="3"/>
  <c r="F31" i="5"/>
  <c r="F260"/>
  <c r="F340"/>
  <c r="D18" i="3"/>
  <c r="K148" i="5"/>
  <c r="K299"/>
  <c r="K376"/>
  <c r="I54" i="3"/>
  <c r="K31" i="5"/>
  <c r="J236" i="2"/>
  <c r="K94" i="5"/>
  <c r="O148"/>
  <c r="O299"/>
  <c r="O376"/>
  <c r="M54" i="3"/>
  <c r="O31" i="5"/>
  <c r="N236" i="2"/>
  <c r="O202" i="5"/>
  <c r="O317"/>
  <c r="O394"/>
  <c r="M72" i="3"/>
  <c r="B174" i="2"/>
  <c r="A33"/>
  <c r="H32" i="5"/>
  <c r="H149"/>
  <c r="H300"/>
  <c r="H377"/>
  <c r="F55" i="3"/>
  <c r="L149" i="5"/>
  <c r="L300"/>
  <c r="L377"/>
  <c r="J55" i="3"/>
  <c r="L32" i="5"/>
  <c r="L261"/>
  <c r="L341"/>
  <c r="J19" i="3"/>
  <c r="P149" i="5"/>
  <c r="P300"/>
  <c r="P377"/>
  <c r="N55" i="3"/>
  <c r="P32" i="5"/>
  <c r="P261"/>
  <c r="P341"/>
  <c r="N19" i="3"/>
  <c r="I150" i="5"/>
  <c r="I301"/>
  <c r="I378"/>
  <c r="G56" i="3"/>
  <c r="I33" i="5"/>
  <c r="I262"/>
  <c r="I342"/>
  <c r="G20" i="3"/>
  <c r="M33" i="5"/>
  <c r="M150"/>
  <c r="M301"/>
  <c r="M378"/>
  <c r="K56" i="3"/>
  <c r="L238" i="2"/>
  <c r="M96" i="5"/>
  <c r="Q150"/>
  <c r="Q33"/>
  <c r="P238" i="2"/>
  <c r="Q96" i="5"/>
  <c r="E151"/>
  <c r="E34"/>
  <c r="J151"/>
  <c r="J34"/>
  <c r="N151"/>
  <c r="N302"/>
  <c r="N379"/>
  <c r="L57" i="3"/>
  <c r="N34" i="5"/>
  <c r="N263"/>
  <c r="N343"/>
  <c r="L21" i="3"/>
  <c r="F152" i="5"/>
  <c r="F303"/>
  <c r="F380"/>
  <c r="D58" i="3"/>
  <c r="F35" i="5"/>
  <c r="F264"/>
  <c r="F344"/>
  <c r="D22" i="3"/>
  <c r="K152" i="5"/>
  <c r="K303"/>
  <c r="K380"/>
  <c r="I58" i="3"/>
  <c r="K35" i="5"/>
  <c r="J240" i="2"/>
  <c r="K98" i="5"/>
  <c r="O152"/>
  <c r="O303"/>
  <c r="O380"/>
  <c r="M58" i="3"/>
  <c r="O35" i="5"/>
  <c r="N240" i="2"/>
  <c r="A178"/>
  <c r="C153" i="5"/>
  <c r="C304"/>
  <c r="C381"/>
  <c r="A59" i="3"/>
  <c r="C36" i="5"/>
  <c r="H36"/>
  <c r="H153"/>
  <c r="H304"/>
  <c r="H381"/>
  <c r="F59" i="3"/>
  <c r="L153" i="5"/>
  <c r="L304"/>
  <c r="L381"/>
  <c r="J59" i="3"/>
  <c r="L36" i="5"/>
  <c r="P153"/>
  <c r="P304"/>
  <c r="P381"/>
  <c r="N59" i="3"/>
  <c r="P36" i="5"/>
  <c r="D154"/>
  <c r="D305"/>
  <c r="D382"/>
  <c r="B60" i="3"/>
  <c r="D37" i="5"/>
  <c r="I154"/>
  <c r="I305"/>
  <c r="I382"/>
  <c r="G60" i="3"/>
  <c r="I37" i="5"/>
  <c r="M37"/>
  <c r="M154"/>
  <c r="M305"/>
  <c r="M382"/>
  <c r="K60" i="3"/>
  <c r="L242" i="2"/>
  <c r="Q154" i="5"/>
  <c r="Q37"/>
  <c r="P242" i="2"/>
  <c r="Q208" i="5"/>
  <c r="E155"/>
  <c r="E38"/>
  <c r="J155"/>
  <c r="J38"/>
  <c r="I243" i="2"/>
  <c r="J209" i="5"/>
  <c r="N155"/>
  <c r="N306"/>
  <c r="N383"/>
  <c r="L61" i="3"/>
  <c r="N38" i="5"/>
  <c r="F156"/>
  <c r="F39"/>
  <c r="K156"/>
  <c r="K39"/>
  <c r="J244" i="2"/>
  <c r="K102" i="5"/>
  <c r="O156"/>
  <c r="O39"/>
  <c r="N244" i="2"/>
  <c r="O210" i="5"/>
  <c r="B182" i="2"/>
  <c r="A41"/>
  <c r="H40" i="5"/>
  <c r="H157"/>
  <c r="L157"/>
  <c r="L40"/>
  <c r="P157"/>
  <c r="P40"/>
  <c r="D158"/>
  <c r="D41"/>
  <c r="I158"/>
  <c r="I41"/>
  <c r="M41"/>
  <c r="M158"/>
  <c r="L246" i="2"/>
  <c r="M104" i="5"/>
  <c r="Q158"/>
  <c r="Q41"/>
  <c r="P246" i="2"/>
  <c r="E159" i="5"/>
  <c r="E42"/>
  <c r="J159"/>
  <c r="J42"/>
  <c r="I247" i="2"/>
  <c r="J213" i="5"/>
  <c r="N159"/>
  <c r="N42"/>
  <c r="F160"/>
  <c r="F43"/>
  <c r="K160"/>
  <c r="K43"/>
  <c r="J248" i="2"/>
  <c r="O160" i="5"/>
  <c r="O43"/>
  <c r="N248" i="2"/>
  <c r="A45"/>
  <c r="B186"/>
  <c r="H44" i="5"/>
  <c r="H161"/>
  <c r="L161"/>
  <c r="L44"/>
  <c r="P161"/>
  <c r="P44"/>
  <c r="D162"/>
  <c r="D45"/>
  <c r="I162"/>
  <c r="I45"/>
  <c r="M45"/>
  <c r="M162"/>
  <c r="L250" i="2"/>
  <c r="M108" i="5"/>
  <c r="Q162"/>
  <c r="Q45"/>
  <c r="P250" i="2"/>
  <c r="Q216" i="5"/>
  <c r="E163"/>
  <c r="E46"/>
  <c r="J163"/>
  <c r="J46"/>
  <c r="I251" i="2"/>
  <c r="N163" i="5"/>
  <c r="N46"/>
  <c r="F164"/>
  <c r="F47"/>
  <c r="K164"/>
  <c r="K47"/>
  <c r="J252" i="2"/>
  <c r="K110" i="5"/>
  <c r="O164"/>
  <c r="O47"/>
  <c r="N252" i="2"/>
  <c r="B190"/>
  <c r="A190"/>
  <c r="A49"/>
  <c r="H48" i="5"/>
  <c r="H165"/>
  <c r="L165"/>
  <c r="L48"/>
  <c r="P165"/>
  <c r="P48"/>
  <c r="D166"/>
  <c r="D49"/>
  <c r="I166"/>
  <c r="I49"/>
  <c r="M49"/>
  <c r="M166"/>
  <c r="L254" i="2"/>
  <c r="M112" i="5"/>
  <c r="Q166"/>
  <c r="Q49"/>
  <c r="P254" i="2"/>
  <c r="Q112" i="5"/>
  <c r="E167"/>
  <c r="E50"/>
  <c r="J167"/>
  <c r="J50"/>
  <c r="N167"/>
  <c r="N50"/>
  <c r="F168"/>
  <c r="F51"/>
  <c r="K168"/>
  <c r="K51"/>
  <c r="J256" i="2"/>
  <c r="K114" i="5"/>
  <c r="O168"/>
  <c r="O51"/>
  <c r="N256" i="2"/>
  <c r="O114" i="5"/>
  <c r="H52"/>
  <c r="H169"/>
  <c r="L169"/>
  <c r="L52"/>
  <c r="P169"/>
  <c r="P52"/>
  <c r="C195" i="2"/>
  <c r="A195"/>
  <c r="A54"/>
  <c r="I170" i="5"/>
  <c r="I53"/>
  <c r="M53"/>
  <c r="M170"/>
  <c r="L258" i="2"/>
  <c r="M116" i="5"/>
  <c r="Q170"/>
  <c r="Q53"/>
  <c r="P258" i="2"/>
  <c r="Q116" i="5"/>
  <c r="E171"/>
  <c r="E54"/>
  <c r="J171"/>
  <c r="J54"/>
  <c r="I259" i="2"/>
  <c r="J225" i="5"/>
  <c r="N171"/>
  <c r="N54"/>
  <c r="F172"/>
  <c r="F55"/>
  <c r="K172"/>
  <c r="K55"/>
  <c r="J260" i="2"/>
  <c r="K118" i="5"/>
  <c r="O172"/>
  <c r="O55"/>
  <c r="N260" i="2"/>
  <c r="O226" i="5"/>
  <c r="A198" i="2"/>
  <c r="C173" i="5"/>
  <c r="C56"/>
  <c r="H56"/>
  <c r="H173"/>
  <c r="L173"/>
  <c r="L56"/>
  <c r="P173"/>
  <c r="P56"/>
  <c r="D174"/>
  <c r="D57"/>
  <c r="I174"/>
  <c r="I57"/>
  <c r="M57"/>
  <c r="M174"/>
  <c r="L262" i="2"/>
  <c r="M120" i="5"/>
  <c r="Q174"/>
  <c r="Q57"/>
  <c r="P262" i="2"/>
  <c r="Q228" i="5"/>
  <c r="E175"/>
  <c r="E58"/>
  <c r="J175"/>
  <c r="J58"/>
  <c r="I263" i="2"/>
  <c r="J121" i="5"/>
  <c r="N175"/>
  <c r="N58"/>
  <c r="F176"/>
  <c r="F59"/>
  <c r="K176"/>
  <c r="K59"/>
  <c r="J264" i="2"/>
  <c r="O176" i="5"/>
  <c r="O59"/>
  <c r="N264" i="2"/>
  <c r="O122" i="5"/>
  <c r="B202" i="2"/>
  <c r="A61"/>
  <c r="H60" i="5"/>
  <c r="H177"/>
  <c r="L177"/>
  <c r="L60"/>
  <c r="P177"/>
  <c r="P60"/>
  <c r="D178"/>
  <c r="D61"/>
  <c r="I178"/>
  <c r="I61"/>
  <c r="M61"/>
  <c r="M178"/>
  <c r="L266" i="2"/>
  <c r="Q178" i="5"/>
  <c r="Q61"/>
  <c r="P266" i="2"/>
  <c r="Q232" i="5"/>
  <c r="E179"/>
  <c r="E62"/>
  <c r="J179"/>
  <c r="J62"/>
  <c r="I267" i="2"/>
  <c r="J233" i="5"/>
  <c r="N179"/>
  <c r="N62"/>
  <c r="F180"/>
  <c r="F63"/>
  <c r="K180"/>
  <c r="K63"/>
  <c r="J268" i="2"/>
  <c r="K126" i="5"/>
  <c r="O180"/>
  <c r="O63"/>
  <c r="N268" i="2"/>
  <c r="O234" i="5"/>
  <c r="A206" i="2"/>
  <c r="C181" i="5"/>
  <c r="C64"/>
  <c r="H64"/>
  <c r="H181"/>
  <c r="L181"/>
  <c r="L64"/>
  <c r="P181"/>
  <c r="P64"/>
  <c r="D182"/>
  <c r="D65"/>
  <c r="I182"/>
  <c r="I65"/>
  <c r="M182"/>
  <c r="M65"/>
  <c r="L270" i="2"/>
  <c r="M128" i="5"/>
  <c r="Q182"/>
  <c r="Q65"/>
  <c r="P270" i="2"/>
  <c r="Q128" i="5"/>
  <c r="Q186"/>
  <c r="Q69"/>
  <c r="Q194"/>
  <c r="Q77"/>
  <c r="Q81"/>
  <c r="B245" i="2"/>
  <c r="A104"/>
  <c r="B246"/>
  <c r="A246"/>
  <c r="A105"/>
  <c r="F194" i="5"/>
  <c r="F77"/>
  <c r="J173"/>
  <c r="J56"/>
  <c r="I261" i="2"/>
  <c r="J227" i="5"/>
  <c r="E74"/>
  <c r="E191"/>
  <c r="M74"/>
  <c r="M191"/>
  <c r="E66"/>
  <c r="E183"/>
  <c r="J183"/>
  <c r="J66"/>
  <c r="N183"/>
  <c r="N66"/>
  <c r="F184"/>
  <c r="F67"/>
  <c r="K184"/>
  <c r="K67"/>
  <c r="J272" i="2"/>
  <c r="K130" i="5"/>
  <c r="O67"/>
  <c r="O184"/>
  <c r="N272" i="2"/>
  <c r="O130" i="5"/>
  <c r="A210" i="2"/>
  <c r="C185" i="5"/>
  <c r="C68"/>
  <c r="H68"/>
  <c r="H185"/>
  <c r="L185"/>
  <c r="L68"/>
  <c r="P185"/>
  <c r="P68"/>
  <c r="D186"/>
  <c r="D307"/>
  <c r="D384"/>
  <c r="B62" i="3"/>
  <c r="D69" i="5"/>
  <c r="D268"/>
  <c r="D348"/>
  <c r="B26" i="3"/>
  <c r="I186" i="5"/>
  <c r="I307"/>
  <c r="I384"/>
  <c r="G62" i="3"/>
  <c r="I69" i="5"/>
  <c r="I268"/>
  <c r="M69"/>
  <c r="J187"/>
  <c r="J70"/>
  <c r="N187"/>
  <c r="N308"/>
  <c r="N385"/>
  <c r="L63" i="3"/>
  <c r="N70" i="5"/>
  <c r="N269"/>
  <c r="F188"/>
  <c r="F309"/>
  <c r="F386"/>
  <c r="D64" i="3"/>
  <c r="F71" i="5"/>
  <c r="F270"/>
  <c r="F350"/>
  <c r="D28" i="3"/>
  <c r="K71" i="5"/>
  <c r="O71"/>
  <c r="A73" i="2"/>
  <c r="B214"/>
  <c r="H72" i="5"/>
  <c r="H189"/>
  <c r="L189"/>
  <c r="L72"/>
  <c r="P189"/>
  <c r="P72"/>
  <c r="D190"/>
  <c r="D73"/>
  <c r="I190"/>
  <c r="I73"/>
  <c r="M190"/>
  <c r="M73"/>
  <c r="J191"/>
  <c r="J74"/>
  <c r="N191"/>
  <c r="N74"/>
  <c r="F192"/>
  <c r="F75"/>
  <c r="K192"/>
  <c r="K75"/>
  <c r="B218" i="2"/>
  <c r="A77"/>
  <c r="H76" i="5"/>
  <c r="L193"/>
  <c r="L76"/>
  <c r="P193"/>
  <c r="P76"/>
  <c r="A219" i="2"/>
  <c r="D194" i="5"/>
  <c r="D77"/>
  <c r="I194"/>
  <c r="I77"/>
  <c r="M194"/>
  <c r="M77"/>
  <c r="K79"/>
  <c r="O79"/>
  <c r="J82"/>
  <c r="K83"/>
  <c r="O83"/>
  <c r="M85"/>
  <c r="J86"/>
  <c r="C205"/>
  <c r="C320"/>
  <c r="C397"/>
  <c r="A75" i="3"/>
  <c r="C97" i="5"/>
  <c r="C228"/>
  <c r="C120"/>
  <c r="G192"/>
  <c r="G71"/>
  <c r="G188"/>
  <c r="G309"/>
  <c r="G386"/>
  <c r="E64" i="3"/>
  <c r="G184" i="5"/>
  <c r="G67"/>
  <c r="G180"/>
  <c r="G63"/>
  <c r="F268" i="2"/>
  <c r="G234" i="5"/>
  <c r="G176"/>
  <c r="G59"/>
  <c r="G172"/>
  <c r="G55"/>
  <c r="F260" i="2"/>
  <c r="G118" i="5"/>
  <c r="G168"/>
  <c r="G51"/>
  <c r="G164"/>
  <c r="G47"/>
  <c r="F252" i="2"/>
  <c r="G160" i="5"/>
  <c r="G43"/>
  <c r="F248" i="2"/>
  <c r="G156" i="5"/>
  <c r="G39"/>
  <c r="G152"/>
  <c r="G303"/>
  <c r="G380"/>
  <c r="E58" i="3"/>
  <c r="G35" i="5"/>
  <c r="F240" i="2"/>
  <c r="G206" i="5"/>
  <c r="G321"/>
  <c r="G398"/>
  <c r="E76" i="3"/>
  <c r="G148" i="5"/>
  <c r="G299"/>
  <c r="G376"/>
  <c r="E54" i="3"/>
  <c r="G31" i="5"/>
  <c r="F236" i="2"/>
  <c r="G94" i="5"/>
  <c r="G144"/>
  <c r="G295"/>
  <c r="G372"/>
  <c r="E50" i="3"/>
  <c r="G27" i="5"/>
  <c r="F232" i="2"/>
  <c r="G90" i="5"/>
  <c r="G137"/>
  <c r="G11"/>
  <c r="G133"/>
  <c r="G290"/>
  <c r="G367"/>
  <c r="E45" i="3"/>
  <c r="G7" i="5"/>
  <c r="G248"/>
  <c r="G331"/>
  <c r="E9" i="3"/>
  <c r="A207" i="2"/>
  <c r="C182" i="5"/>
  <c r="C65"/>
  <c r="L178"/>
  <c r="L61"/>
  <c r="G159"/>
  <c r="G42"/>
  <c r="K69"/>
  <c r="K186"/>
  <c r="K307"/>
  <c r="K384"/>
  <c r="I62" i="3"/>
  <c r="K85" i="5"/>
  <c r="M86"/>
  <c r="O81"/>
  <c r="D132"/>
  <c r="D289"/>
  <c r="D366"/>
  <c r="B44" i="3"/>
  <c r="D6" i="5"/>
  <c r="D247"/>
  <c r="I132"/>
  <c r="I289"/>
  <c r="I366"/>
  <c r="G44" i="3"/>
  <c r="I6" i="5"/>
  <c r="I247"/>
  <c r="M132"/>
  <c r="M289"/>
  <c r="M366"/>
  <c r="K44" i="3"/>
  <c r="M6" i="5"/>
  <c r="M247"/>
  <c r="Q6"/>
  <c r="Q247"/>
  <c r="Q132"/>
  <c r="J133"/>
  <c r="J7"/>
  <c r="J248"/>
  <c r="J331"/>
  <c r="H9" i="3"/>
  <c r="N133" i="5"/>
  <c r="N290"/>
  <c r="N367"/>
  <c r="L45" i="3"/>
  <c r="N7" i="5"/>
  <c r="N248"/>
  <c r="N331"/>
  <c r="L9" i="3"/>
  <c r="F134" i="5"/>
  <c r="F291"/>
  <c r="F368"/>
  <c r="D46" i="3"/>
  <c r="F8" i="5"/>
  <c r="F249"/>
  <c r="F332"/>
  <c r="D10" i="3"/>
  <c r="K134" i="5"/>
  <c r="K291"/>
  <c r="K368"/>
  <c r="I46" i="3"/>
  <c r="K8" i="5"/>
  <c r="K249"/>
  <c r="K332"/>
  <c r="I10" i="3"/>
  <c r="O134" i="5"/>
  <c r="O291"/>
  <c r="O368"/>
  <c r="M46" i="3"/>
  <c r="O8" i="5"/>
  <c r="O249"/>
  <c r="O332"/>
  <c r="M10" i="3"/>
  <c r="A10" i="2"/>
  <c r="B151"/>
  <c r="H135" i="5"/>
  <c r="H9"/>
  <c r="L135"/>
  <c r="L9"/>
  <c r="P135"/>
  <c r="P9"/>
  <c r="D136"/>
  <c r="D10"/>
  <c r="I136"/>
  <c r="I10"/>
  <c r="M136"/>
  <c r="M10"/>
  <c r="Q10"/>
  <c r="Q136"/>
  <c r="E137"/>
  <c r="E11"/>
  <c r="J137"/>
  <c r="J11"/>
  <c r="N137"/>
  <c r="N11"/>
  <c r="F138"/>
  <c r="F12"/>
  <c r="K138"/>
  <c r="K12"/>
  <c r="O138"/>
  <c r="O12"/>
  <c r="C139"/>
  <c r="C13"/>
  <c r="H139"/>
  <c r="H13"/>
  <c r="L139"/>
  <c r="L13"/>
  <c r="P139"/>
  <c r="P13"/>
  <c r="D140"/>
  <c r="D14"/>
  <c r="I140"/>
  <c r="I14"/>
  <c r="M140"/>
  <c r="M14"/>
  <c r="Q14"/>
  <c r="Q140"/>
  <c r="F141"/>
  <c r="F292"/>
  <c r="F369"/>
  <c r="D47" i="3"/>
  <c r="F24" i="5"/>
  <c r="F253"/>
  <c r="F333"/>
  <c r="D11" i="3"/>
  <c r="K24" i="5"/>
  <c r="K141"/>
  <c r="K292"/>
  <c r="K369"/>
  <c r="I47" i="3"/>
  <c r="J229" i="2"/>
  <c r="K195" i="5"/>
  <c r="K310"/>
  <c r="K387"/>
  <c r="I65" i="3"/>
  <c r="O141" i="5"/>
  <c r="O292"/>
  <c r="O369"/>
  <c r="M47" i="3"/>
  <c r="O24" i="5"/>
  <c r="N229" i="2"/>
  <c r="O195" i="5"/>
  <c r="O310"/>
  <c r="O387"/>
  <c r="M65" i="3"/>
  <c r="A26" i="2"/>
  <c r="B167"/>
  <c r="H142" i="5"/>
  <c r="H293"/>
  <c r="H370"/>
  <c r="F48" i="3"/>
  <c r="H25" i="5"/>
  <c r="G230" i="2"/>
  <c r="H196" i="5"/>
  <c r="H311"/>
  <c r="H388"/>
  <c r="F66" i="3"/>
  <c r="L142" i="5"/>
  <c r="L293"/>
  <c r="L370"/>
  <c r="J48" i="3"/>
  <c r="L25" i="5"/>
  <c r="L254"/>
  <c r="L334"/>
  <c r="J12" i="3"/>
  <c r="P142" i="5"/>
  <c r="P293"/>
  <c r="P370"/>
  <c r="N48" i="3"/>
  <c r="P25" i="5"/>
  <c r="P254"/>
  <c r="P334"/>
  <c r="N12" i="3"/>
  <c r="D143" i="5"/>
  <c r="D294"/>
  <c r="D371"/>
  <c r="B49" i="3"/>
  <c r="D26" i="5"/>
  <c r="D255"/>
  <c r="D335"/>
  <c r="B13" i="3"/>
  <c r="I143" i="5"/>
  <c r="I294"/>
  <c r="I371"/>
  <c r="G49" i="3"/>
  <c r="I26" i="5"/>
  <c r="I255"/>
  <c r="I335"/>
  <c r="G13" i="3"/>
  <c r="M143" i="5"/>
  <c r="M294"/>
  <c r="M371"/>
  <c r="K49" i="3"/>
  <c r="M26" i="5"/>
  <c r="L231" i="2"/>
  <c r="M197" i="5"/>
  <c r="M312"/>
  <c r="M389"/>
  <c r="K67" i="3"/>
  <c r="Q143" i="5"/>
  <c r="Q26"/>
  <c r="E144"/>
  <c r="E27"/>
  <c r="J144"/>
  <c r="J27"/>
  <c r="I232" i="2"/>
  <c r="N144" i="5"/>
  <c r="N295"/>
  <c r="N372"/>
  <c r="L50" i="3"/>
  <c r="N27" i="5"/>
  <c r="N256"/>
  <c r="N336"/>
  <c r="L14" i="3"/>
  <c r="F145" i="5"/>
  <c r="F296"/>
  <c r="F373"/>
  <c r="D51" i="3"/>
  <c r="F28" i="5"/>
  <c r="K145"/>
  <c r="K296"/>
  <c r="K373"/>
  <c r="I51" i="3"/>
  <c r="K28" i="5"/>
  <c r="J233" i="2"/>
  <c r="K199" i="5"/>
  <c r="K314"/>
  <c r="K391"/>
  <c r="I69" i="3"/>
  <c r="O145" i="5"/>
  <c r="O296"/>
  <c r="O373"/>
  <c r="M51" i="3"/>
  <c r="O28" i="5"/>
  <c r="N233" i="2"/>
  <c r="O91" i="5"/>
  <c r="H146"/>
  <c r="H297"/>
  <c r="H374"/>
  <c r="F52" i="3"/>
  <c r="H29" i="5"/>
  <c r="G234" i="2"/>
  <c r="H200" i="5"/>
  <c r="H315"/>
  <c r="H392"/>
  <c r="F70" i="3"/>
  <c r="L146" i="5"/>
  <c r="L297"/>
  <c r="L374"/>
  <c r="J52" i="3"/>
  <c r="L29" i="5"/>
  <c r="P146"/>
  <c r="P297"/>
  <c r="P374"/>
  <c r="N52" i="3"/>
  <c r="P29" i="5"/>
  <c r="D147"/>
  <c r="D298"/>
  <c r="D375"/>
  <c r="B53" i="3"/>
  <c r="D30" i="5"/>
  <c r="D259"/>
  <c r="D339"/>
  <c r="B17" i="3"/>
  <c r="I147" i="5"/>
  <c r="I298"/>
  <c r="I375"/>
  <c r="G53" i="3"/>
  <c r="I30" i="5"/>
  <c r="I259"/>
  <c r="I339"/>
  <c r="G17" i="3"/>
  <c r="M147" i="5"/>
  <c r="M298"/>
  <c r="M375"/>
  <c r="K53" i="3"/>
  <c r="M30" i="5"/>
  <c r="L235" i="2"/>
  <c r="Q147" i="5"/>
  <c r="Q30"/>
  <c r="E148"/>
  <c r="E31"/>
  <c r="D236" i="2"/>
  <c r="E202" i="5"/>
  <c r="J148"/>
  <c r="J31"/>
  <c r="I236" i="2"/>
  <c r="N148" i="5"/>
  <c r="N299"/>
  <c r="N376"/>
  <c r="L54" i="3"/>
  <c r="N31" i="5"/>
  <c r="N260"/>
  <c r="N340"/>
  <c r="L18" i="3"/>
  <c r="F149" i="5"/>
  <c r="F300"/>
  <c r="F377"/>
  <c r="D55" i="3"/>
  <c r="F32" i="5"/>
  <c r="F261"/>
  <c r="F341"/>
  <c r="D19" i="3"/>
  <c r="K32" i="5"/>
  <c r="K149"/>
  <c r="K300"/>
  <c r="K377"/>
  <c r="I55" i="3"/>
  <c r="J237" i="2"/>
  <c r="K95" i="5"/>
  <c r="O149"/>
  <c r="O300"/>
  <c r="O377"/>
  <c r="M55" i="3"/>
  <c r="O32" i="5"/>
  <c r="N237" i="2"/>
  <c r="O95" i="5"/>
  <c r="A34" i="2"/>
  <c r="B175"/>
  <c r="A175"/>
  <c r="H150" i="5"/>
  <c r="H301"/>
  <c r="H378"/>
  <c r="F56" i="3"/>
  <c r="H33" i="5"/>
  <c r="G238" i="2"/>
  <c r="H96" i="5"/>
  <c r="L150"/>
  <c r="L301"/>
  <c r="L378"/>
  <c r="J56" i="3"/>
  <c r="L33" i="5"/>
  <c r="L262"/>
  <c r="L342"/>
  <c r="J20" i="3"/>
  <c r="P150" i="5"/>
  <c r="P301"/>
  <c r="P378"/>
  <c r="N56" i="3"/>
  <c r="P33" i="5"/>
  <c r="P262"/>
  <c r="P342"/>
  <c r="N20" i="3"/>
  <c r="D151" i="5"/>
  <c r="D302"/>
  <c r="D379"/>
  <c r="B57" i="3"/>
  <c r="D34" i="5"/>
  <c r="D263"/>
  <c r="D343"/>
  <c r="B21" i="3"/>
  <c r="I151" i="5"/>
  <c r="I302"/>
  <c r="I379"/>
  <c r="G57" i="3"/>
  <c r="I34" i="5"/>
  <c r="I263"/>
  <c r="I343"/>
  <c r="G21" i="3"/>
  <c r="M151" i="5"/>
  <c r="M302"/>
  <c r="M379"/>
  <c r="K57" i="3"/>
  <c r="M34" i="5"/>
  <c r="L239" i="2"/>
  <c r="M205" i="5"/>
  <c r="M320"/>
  <c r="M397"/>
  <c r="K75" i="3"/>
  <c r="Q151" i="5"/>
  <c r="Q34"/>
  <c r="E152"/>
  <c r="E35"/>
  <c r="J152"/>
  <c r="J35"/>
  <c r="I240" i="2"/>
  <c r="J206" i="5"/>
  <c r="N152"/>
  <c r="N303"/>
  <c r="N380"/>
  <c r="L58" i="3"/>
  <c r="N35" i="5"/>
  <c r="N264"/>
  <c r="N344"/>
  <c r="L22" i="3"/>
  <c r="F153" i="5"/>
  <c r="F304"/>
  <c r="F381"/>
  <c r="D59" i="3"/>
  <c r="F36" i="5"/>
  <c r="K153"/>
  <c r="K304"/>
  <c r="K381"/>
  <c r="I59" i="3"/>
  <c r="K36" i="5"/>
  <c r="J241" i="2"/>
  <c r="O153" i="5"/>
  <c r="O304"/>
  <c r="O381"/>
  <c r="M59" i="3"/>
  <c r="O36" i="5"/>
  <c r="N241" i="2"/>
  <c r="O99" i="5"/>
  <c r="C154"/>
  <c r="C305"/>
  <c r="C382"/>
  <c r="A60" i="3"/>
  <c r="C37" i="5"/>
  <c r="H154"/>
  <c r="H305"/>
  <c r="H382"/>
  <c r="F60" i="3"/>
  <c r="H37" i="5"/>
  <c r="G242" i="2"/>
  <c r="L154" i="5"/>
  <c r="L305"/>
  <c r="L382"/>
  <c r="J60" i="3"/>
  <c r="L37" i="5"/>
  <c r="P154"/>
  <c r="P305"/>
  <c r="P382"/>
  <c r="N60" i="3"/>
  <c r="P37" i="5"/>
  <c r="D155"/>
  <c r="D306"/>
  <c r="D383"/>
  <c r="B61" i="3"/>
  <c r="D38" i="5"/>
  <c r="I155"/>
  <c r="I306"/>
  <c r="I383"/>
  <c r="G61" i="3"/>
  <c r="I38" i="5"/>
  <c r="M155"/>
  <c r="M306"/>
  <c r="M383"/>
  <c r="K61" i="3"/>
  <c r="M38" i="5"/>
  <c r="L243" i="2"/>
  <c r="M101" i="5"/>
  <c r="Q155"/>
  <c r="Q38"/>
  <c r="E156"/>
  <c r="E39"/>
  <c r="D244" i="2"/>
  <c r="J156" i="5"/>
  <c r="J39"/>
  <c r="I244" i="2"/>
  <c r="J102" i="5"/>
  <c r="N156"/>
  <c r="N39"/>
  <c r="F157"/>
  <c r="F40"/>
  <c r="K40"/>
  <c r="K157"/>
  <c r="J245" i="2"/>
  <c r="O157" i="5"/>
  <c r="O40"/>
  <c r="N245" i="2"/>
  <c r="O103" i="5"/>
  <c r="A42" i="2"/>
  <c r="B183"/>
  <c r="H158" i="5"/>
  <c r="H41"/>
  <c r="L158"/>
  <c r="L41"/>
  <c r="P158"/>
  <c r="P41"/>
  <c r="D159"/>
  <c r="D42"/>
  <c r="I159"/>
  <c r="I42"/>
  <c r="M159"/>
  <c r="M42"/>
  <c r="L247" i="2"/>
  <c r="Q159" i="5"/>
  <c r="Q42"/>
  <c r="E160"/>
  <c r="E43"/>
  <c r="D248" i="2"/>
  <c r="E106" i="5"/>
  <c r="J160"/>
  <c r="J43"/>
  <c r="I248" i="2"/>
  <c r="N160" i="5"/>
  <c r="N43"/>
  <c r="F161"/>
  <c r="F44"/>
  <c r="K161"/>
  <c r="K44"/>
  <c r="J249" i="2"/>
  <c r="K215" i="5"/>
  <c r="O161"/>
  <c r="O44"/>
  <c r="N249" i="2"/>
  <c r="O215" i="5"/>
  <c r="A46" i="2"/>
  <c r="B187"/>
  <c r="H162" i="5"/>
  <c r="H45"/>
  <c r="L162"/>
  <c r="L45"/>
  <c r="P162"/>
  <c r="P45"/>
  <c r="D163"/>
  <c r="D46"/>
  <c r="I163"/>
  <c r="I46"/>
  <c r="M163"/>
  <c r="M46"/>
  <c r="L251" i="2"/>
  <c r="M217" i="5"/>
  <c r="Q163"/>
  <c r="Q46"/>
  <c r="J164"/>
  <c r="J47"/>
  <c r="I252" i="2"/>
  <c r="J218" i="5"/>
  <c r="N164"/>
  <c r="N47"/>
  <c r="F165"/>
  <c r="F48"/>
  <c r="K48"/>
  <c r="K165"/>
  <c r="J253" i="2"/>
  <c r="K111" i="5"/>
  <c r="O165"/>
  <c r="O48"/>
  <c r="N253" i="2"/>
  <c r="C166" i="5"/>
  <c r="C49"/>
  <c r="A191" i="2"/>
  <c r="H174" i="5"/>
  <c r="H57"/>
  <c r="J176"/>
  <c r="J59"/>
  <c r="I264" i="2"/>
  <c r="I179" i="5"/>
  <c r="I62"/>
  <c r="N180"/>
  <c r="N63"/>
  <c r="P182"/>
  <c r="P65"/>
  <c r="N184"/>
  <c r="N67"/>
  <c r="Q70"/>
  <c r="J71"/>
  <c r="O189"/>
  <c r="O72"/>
  <c r="Q74"/>
  <c r="J192"/>
  <c r="K193"/>
  <c r="O193"/>
  <c r="O76"/>
  <c r="C194"/>
  <c r="C77"/>
  <c r="K80"/>
  <c r="O80"/>
  <c r="K84"/>
  <c r="O84"/>
  <c r="C209"/>
  <c r="C324"/>
  <c r="C401"/>
  <c r="A79" i="3"/>
  <c r="C101" i="5"/>
  <c r="C217"/>
  <c r="C109"/>
  <c r="A122" i="2"/>
  <c r="B263"/>
  <c r="G132" i="5"/>
  <c r="G289"/>
  <c r="G366"/>
  <c r="E44" i="3"/>
  <c r="G6" i="5"/>
  <c r="G247"/>
  <c r="G181"/>
  <c r="G64"/>
  <c r="F269" i="2"/>
  <c r="G177" i="5"/>
  <c r="G60"/>
  <c r="F265" i="2"/>
  <c r="G231" i="5"/>
  <c r="A220" i="2"/>
  <c r="C78" i="5"/>
  <c r="C271"/>
  <c r="L182"/>
  <c r="L65"/>
  <c r="D145"/>
  <c r="D296"/>
  <c r="D373"/>
  <c r="B51" i="3"/>
  <c r="D28" i="5"/>
  <c r="M82"/>
  <c r="O194"/>
  <c r="A156" i="2"/>
  <c r="C140" i="5"/>
  <c r="C14"/>
  <c r="F142"/>
  <c r="F293"/>
  <c r="F370"/>
  <c r="D48" i="3"/>
  <c r="F25" i="5"/>
  <c r="F254"/>
  <c r="F334"/>
  <c r="D12" i="3"/>
  <c r="P147" i="5"/>
  <c r="P298"/>
  <c r="P375"/>
  <c r="N53" i="3"/>
  <c r="P30" i="5"/>
  <c r="P259"/>
  <c r="P339"/>
  <c r="N17" i="3"/>
  <c r="A192" i="2"/>
  <c r="C167" i="5"/>
  <c r="C50"/>
  <c r="M188"/>
  <c r="M309"/>
  <c r="M386"/>
  <c r="K64" i="3"/>
  <c r="M71" i="5"/>
  <c r="Q188"/>
  <c r="Q71"/>
  <c r="J189"/>
  <c r="Q75"/>
  <c r="J193"/>
  <c r="J76"/>
  <c r="M79"/>
  <c r="Q79"/>
  <c r="J80"/>
  <c r="M83"/>
  <c r="Q83"/>
  <c r="J84"/>
  <c r="C199"/>
  <c r="C314"/>
  <c r="C391"/>
  <c r="A69" i="3"/>
  <c r="C91" i="5"/>
  <c r="A242" i="2"/>
  <c r="C208" i="5"/>
  <c r="C323"/>
  <c r="C400"/>
  <c r="A78" i="3"/>
  <c r="C100" i="5"/>
  <c r="C221"/>
  <c r="C113"/>
  <c r="C231"/>
  <c r="C123"/>
  <c r="F246" i="2"/>
  <c r="G158" i="5"/>
  <c r="G41"/>
  <c r="G142"/>
  <c r="G293"/>
  <c r="G370"/>
  <c r="E48" i="3"/>
  <c r="G25" i="5"/>
  <c r="F230" i="2"/>
  <c r="G88" i="5"/>
  <c r="C222"/>
  <c r="C114"/>
  <c r="I185"/>
  <c r="I68"/>
  <c r="O139"/>
  <c r="O13"/>
  <c r="K77"/>
  <c r="K194"/>
  <c r="M78"/>
  <c r="O73"/>
  <c r="E250"/>
  <c r="B21"/>
  <c r="A62" i="2"/>
  <c r="A82"/>
  <c r="D232"/>
  <c r="E198" i="5"/>
  <c r="F264" i="2"/>
  <c r="G122" i="5"/>
  <c r="A70" i="2"/>
  <c r="A155"/>
  <c r="P239"/>
  <c r="Q97" i="5"/>
  <c r="G250" i="2"/>
  <c r="H216" i="5"/>
  <c r="F272" i="2"/>
  <c r="G238" i="5"/>
  <c r="P235" i="2"/>
  <c r="Q93" i="5"/>
  <c r="P251" i="2"/>
  <c r="Q109" i="5"/>
  <c r="H166"/>
  <c r="H49"/>
  <c r="P166"/>
  <c r="P49"/>
  <c r="D167"/>
  <c r="D50"/>
  <c r="M167"/>
  <c r="M50"/>
  <c r="E168"/>
  <c r="E51"/>
  <c r="C170"/>
  <c r="C53"/>
  <c r="L170"/>
  <c r="L53"/>
  <c r="D171"/>
  <c r="D54"/>
  <c r="M171"/>
  <c r="M54"/>
  <c r="E172"/>
  <c r="E55"/>
  <c r="L174"/>
  <c r="L57"/>
  <c r="D175"/>
  <c r="D58"/>
  <c r="M175"/>
  <c r="M58"/>
  <c r="E176"/>
  <c r="E59"/>
  <c r="N176"/>
  <c r="N59"/>
  <c r="K177"/>
  <c r="K60"/>
  <c r="P178"/>
  <c r="P61"/>
  <c r="Q179"/>
  <c r="Q62"/>
  <c r="F181"/>
  <c r="F64"/>
  <c r="O181"/>
  <c r="O64"/>
  <c r="H182"/>
  <c r="H65"/>
  <c r="I183"/>
  <c r="I66"/>
  <c r="Q66"/>
  <c r="Q183"/>
  <c r="J67"/>
  <c r="J184"/>
  <c r="F185"/>
  <c r="F68"/>
  <c r="A211" i="2"/>
  <c r="C186" i="5"/>
  <c r="C69"/>
  <c r="C268"/>
  <c r="L186"/>
  <c r="L307"/>
  <c r="L384"/>
  <c r="J62" i="3"/>
  <c r="L69" i="5"/>
  <c r="L268"/>
  <c r="P186"/>
  <c r="P307"/>
  <c r="P384"/>
  <c r="N62" i="3"/>
  <c r="P69" i="5"/>
  <c r="P268"/>
  <c r="I187"/>
  <c r="I308"/>
  <c r="I385"/>
  <c r="G63" i="3"/>
  <c r="I70" i="5"/>
  <c r="I269"/>
  <c r="N188"/>
  <c r="N309"/>
  <c r="N386"/>
  <c r="L64" i="3"/>
  <c r="N71" i="5"/>
  <c r="N270"/>
  <c r="F189"/>
  <c r="F72"/>
  <c r="P190"/>
  <c r="P73"/>
  <c r="I191"/>
  <c r="I74"/>
  <c r="N192"/>
  <c r="N75"/>
  <c r="F193"/>
  <c r="F76"/>
  <c r="P194"/>
  <c r="P77"/>
  <c r="A227" i="2"/>
  <c r="C85" i="5"/>
  <c r="C207"/>
  <c r="C322"/>
  <c r="C399"/>
  <c r="A77" i="3"/>
  <c r="C99" i="5"/>
  <c r="C239"/>
  <c r="C131"/>
  <c r="G185"/>
  <c r="G68"/>
  <c r="G173"/>
  <c r="G56"/>
  <c r="G165"/>
  <c r="G48"/>
  <c r="G157"/>
  <c r="G40"/>
  <c r="G149"/>
  <c r="G300"/>
  <c r="G377"/>
  <c r="E55" i="3"/>
  <c r="G32" i="5"/>
  <c r="G141"/>
  <c r="G292"/>
  <c r="G369"/>
  <c r="E47" i="3"/>
  <c r="G24" i="5"/>
  <c r="G138"/>
  <c r="G12"/>
  <c r="C224"/>
  <c r="C116"/>
  <c r="C201"/>
  <c r="C316"/>
  <c r="C393"/>
  <c r="A71" i="3"/>
  <c r="C93" i="5"/>
  <c r="Q165"/>
  <c r="Q48"/>
  <c r="L152"/>
  <c r="L303"/>
  <c r="L380"/>
  <c r="J58" i="3"/>
  <c r="L35" i="5"/>
  <c r="L264"/>
  <c r="L344"/>
  <c r="J22" i="3"/>
  <c r="F132" i="5"/>
  <c r="F289"/>
  <c r="F366"/>
  <c r="D44" i="3"/>
  <c r="F6" i="5"/>
  <c r="F247"/>
  <c r="K6"/>
  <c r="K247"/>
  <c r="K132"/>
  <c r="K289"/>
  <c r="K366"/>
  <c r="I44" i="3"/>
  <c r="O6" i="5"/>
  <c r="O247"/>
  <c r="O132"/>
  <c r="O289"/>
  <c r="O366"/>
  <c r="M44" i="3"/>
  <c r="C133" i="5"/>
  <c r="C290"/>
  <c r="C7"/>
  <c r="H133"/>
  <c r="H290"/>
  <c r="H367"/>
  <c r="F45" i="3"/>
  <c r="H7" i="5"/>
  <c r="H248"/>
  <c r="H331"/>
  <c r="F9" i="3"/>
  <c r="L133" i="5"/>
  <c r="L290"/>
  <c r="L367"/>
  <c r="J45" i="3"/>
  <c r="L7" i="5"/>
  <c r="L248"/>
  <c r="L331"/>
  <c r="J9" i="3"/>
  <c r="P133" i="5"/>
  <c r="P290"/>
  <c r="P367"/>
  <c r="N45" i="3"/>
  <c r="P7" i="5"/>
  <c r="P248"/>
  <c r="P331"/>
  <c r="N9" i="3"/>
  <c r="D134" i="5"/>
  <c r="D291"/>
  <c r="D368"/>
  <c r="B46" i="3"/>
  <c r="D8" i="5"/>
  <c r="D249"/>
  <c r="D332"/>
  <c r="B10" i="3"/>
  <c r="I134" i="5"/>
  <c r="I291"/>
  <c r="I368"/>
  <c r="G46" i="3"/>
  <c r="I8" i="5"/>
  <c r="I249"/>
  <c r="I332"/>
  <c r="G10" i="3"/>
  <c r="M8" i="5"/>
  <c r="M249"/>
  <c r="M332"/>
  <c r="K10" i="3"/>
  <c r="M134" i="5"/>
  <c r="M291"/>
  <c r="M368"/>
  <c r="K46" i="3"/>
  <c r="Q134" i="5"/>
  <c r="Q8"/>
  <c r="Q249"/>
  <c r="Q332"/>
  <c r="O10" i="3"/>
  <c r="P10"/>
  <c r="E135" i="5"/>
  <c r="E9"/>
  <c r="J135"/>
  <c r="J9"/>
  <c r="N135"/>
  <c r="N9"/>
  <c r="F136"/>
  <c r="F10"/>
  <c r="K136"/>
  <c r="K10"/>
  <c r="O136"/>
  <c r="O10"/>
  <c r="C137"/>
  <c r="C11"/>
  <c r="H11"/>
  <c r="H137"/>
  <c r="L137"/>
  <c r="L11"/>
  <c r="P137"/>
  <c r="P11"/>
  <c r="D138"/>
  <c r="D12"/>
  <c r="I138"/>
  <c r="I12"/>
  <c r="M12"/>
  <c r="M138"/>
  <c r="Q138"/>
  <c r="Q12"/>
  <c r="E139"/>
  <c r="E13"/>
  <c r="J139"/>
  <c r="J13"/>
  <c r="N139"/>
  <c r="N13"/>
  <c r="F140"/>
  <c r="F14"/>
  <c r="K140"/>
  <c r="K14"/>
  <c r="D141"/>
  <c r="D292"/>
  <c r="D369"/>
  <c r="B47" i="3"/>
  <c r="D24" i="5"/>
  <c r="D253"/>
  <c r="D333"/>
  <c r="B11" i="3"/>
  <c r="I141" i="5"/>
  <c r="I292"/>
  <c r="I369"/>
  <c r="G47" i="3"/>
  <c r="I24" i="5"/>
  <c r="I253"/>
  <c r="I333"/>
  <c r="G11" i="3"/>
  <c r="M141" i="5"/>
  <c r="M292"/>
  <c r="M369"/>
  <c r="K47" i="3"/>
  <c r="M24" i="5"/>
  <c r="Q141"/>
  <c r="Q24"/>
  <c r="E142"/>
  <c r="E25"/>
  <c r="J142"/>
  <c r="J25"/>
  <c r="N142"/>
  <c r="N293"/>
  <c r="N370"/>
  <c r="L48" i="3"/>
  <c r="N25" i="5"/>
  <c r="N254"/>
  <c r="N334"/>
  <c r="L12" i="3"/>
  <c r="F143" i="5"/>
  <c r="F294"/>
  <c r="F371"/>
  <c r="D49" i="3"/>
  <c r="F26" i="5"/>
  <c r="F255"/>
  <c r="F335"/>
  <c r="D13" i="3"/>
  <c r="K143" i="5"/>
  <c r="K294"/>
  <c r="K371"/>
  <c r="I49" i="3"/>
  <c r="K26" i="5"/>
  <c r="O143"/>
  <c r="O294"/>
  <c r="O371"/>
  <c r="M49" i="3"/>
  <c r="O26" i="5"/>
  <c r="C144"/>
  <c r="C295"/>
  <c r="C372"/>
  <c r="A50" i="3"/>
  <c r="C27" i="5"/>
  <c r="H144"/>
  <c r="H295"/>
  <c r="H372"/>
  <c r="F50" i="3"/>
  <c r="H27" i="5"/>
  <c r="L144"/>
  <c r="L295"/>
  <c r="L372"/>
  <c r="J50" i="3"/>
  <c r="L27" i="5"/>
  <c r="L256"/>
  <c r="L336"/>
  <c r="J14" i="3"/>
  <c r="P144" i="5"/>
  <c r="P295"/>
  <c r="P372"/>
  <c r="N50" i="3"/>
  <c r="P27" i="5"/>
  <c r="P256"/>
  <c r="P336"/>
  <c r="N14" i="3"/>
  <c r="I145" i="5"/>
  <c r="I296"/>
  <c r="I373"/>
  <c r="G51" i="3"/>
  <c r="I28" i="5"/>
  <c r="M145"/>
  <c r="M296"/>
  <c r="M373"/>
  <c r="K51" i="3"/>
  <c r="M28" i="5"/>
  <c r="Q145"/>
  <c r="Q28"/>
  <c r="E146"/>
  <c r="E29"/>
  <c r="J146"/>
  <c r="J29"/>
  <c r="N146"/>
  <c r="N297"/>
  <c r="N374"/>
  <c r="L52" i="3"/>
  <c r="N29" i="5"/>
  <c r="F147"/>
  <c r="F298"/>
  <c r="F375"/>
  <c r="D53" i="3"/>
  <c r="F30" i="5"/>
  <c r="F259"/>
  <c r="F339"/>
  <c r="D17" i="3"/>
  <c r="K147" i="5"/>
  <c r="K298"/>
  <c r="K375"/>
  <c r="I53" i="3"/>
  <c r="K30" i="5"/>
  <c r="O147"/>
  <c r="O298"/>
  <c r="O375"/>
  <c r="M53" i="3"/>
  <c r="O30" i="5"/>
  <c r="H148"/>
  <c r="H299"/>
  <c r="H376"/>
  <c r="F54" i="3"/>
  <c r="H31" i="5"/>
  <c r="L148"/>
  <c r="L299"/>
  <c r="L376"/>
  <c r="J54" i="3"/>
  <c r="L31" i="5"/>
  <c r="L260"/>
  <c r="L340"/>
  <c r="J18" i="3"/>
  <c r="D149" i="5"/>
  <c r="D300"/>
  <c r="D377"/>
  <c r="B55" i="3"/>
  <c r="D32" i="5"/>
  <c r="D261"/>
  <c r="D341"/>
  <c r="B19" i="3"/>
  <c r="I149" i="5"/>
  <c r="I300"/>
  <c r="I377"/>
  <c r="G55" i="3"/>
  <c r="I32" i="5"/>
  <c r="I261"/>
  <c r="I341"/>
  <c r="G19" i="3"/>
  <c r="M149" i="5"/>
  <c r="M300"/>
  <c r="M377"/>
  <c r="K55" i="3"/>
  <c r="M32" i="5"/>
  <c r="Q149"/>
  <c r="Q32"/>
  <c r="E150"/>
  <c r="E33"/>
  <c r="J150"/>
  <c r="J33"/>
  <c r="N150"/>
  <c r="N301"/>
  <c r="N378"/>
  <c r="L56" i="3"/>
  <c r="N33" i="5"/>
  <c r="N262"/>
  <c r="N342"/>
  <c r="L20" i="3"/>
  <c r="F151" i="5"/>
  <c r="F302"/>
  <c r="F379"/>
  <c r="D57" i="3"/>
  <c r="F34" i="5"/>
  <c r="F263"/>
  <c r="F343"/>
  <c r="D21" i="3"/>
  <c r="K151" i="5"/>
  <c r="K302"/>
  <c r="K379"/>
  <c r="I57" i="3"/>
  <c r="K34" i="5"/>
  <c r="O34"/>
  <c r="O151"/>
  <c r="O302"/>
  <c r="O379"/>
  <c r="M57" i="3"/>
  <c r="C152" i="5"/>
  <c r="C303"/>
  <c r="C380"/>
  <c r="A58" i="3"/>
  <c r="C35" i="5"/>
  <c r="C264"/>
  <c r="C344"/>
  <c r="A22" i="3"/>
  <c r="H152" i="5"/>
  <c r="H303"/>
  <c r="H380"/>
  <c r="F58" i="3"/>
  <c r="H35" i="5"/>
  <c r="P152"/>
  <c r="P303"/>
  <c r="P380"/>
  <c r="N58" i="3"/>
  <c r="P35" i="5"/>
  <c r="P264"/>
  <c r="P344"/>
  <c r="N22" i="3"/>
  <c r="D153" i="5"/>
  <c r="D304"/>
  <c r="D381"/>
  <c r="B59" i="3"/>
  <c r="D36" i="5"/>
  <c r="I153"/>
  <c r="I304"/>
  <c r="I381"/>
  <c r="G59" i="3"/>
  <c r="I36" i="5"/>
  <c r="M153"/>
  <c r="M304"/>
  <c r="M381"/>
  <c r="K59" i="3"/>
  <c r="M36" i="5"/>
  <c r="Q153"/>
  <c r="Q36"/>
  <c r="E37"/>
  <c r="E154"/>
  <c r="J37"/>
  <c r="J154"/>
  <c r="N154"/>
  <c r="N305"/>
  <c r="N382"/>
  <c r="L60" i="3"/>
  <c r="N37" i="5"/>
  <c r="F155"/>
  <c r="F306"/>
  <c r="F383"/>
  <c r="D61" i="3"/>
  <c r="F38" i="5"/>
  <c r="K155"/>
  <c r="K306"/>
  <c r="K383"/>
  <c r="I61" i="3"/>
  <c r="K38" i="5"/>
  <c r="O155"/>
  <c r="O306"/>
  <c r="O383"/>
  <c r="M61" i="3"/>
  <c r="O38" i="5"/>
  <c r="C156"/>
  <c r="C39"/>
  <c r="H156"/>
  <c r="H39"/>
  <c r="L156"/>
  <c r="L39"/>
  <c r="P156"/>
  <c r="P39"/>
  <c r="D157"/>
  <c r="D40"/>
  <c r="I157"/>
  <c r="I40"/>
  <c r="M157"/>
  <c r="M40"/>
  <c r="Q157"/>
  <c r="Q40"/>
  <c r="E158"/>
  <c r="E41"/>
  <c r="J158"/>
  <c r="J41"/>
  <c r="N158"/>
  <c r="N41"/>
  <c r="F159"/>
  <c r="F42"/>
  <c r="K159"/>
  <c r="K42"/>
  <c r="O159"/>
  <c r="O42"/>
  <c r="C160"/>
  <c r="C43"/>
  <c r="H160"/>
  <c r="H43"/>
  <c r="L160"/>
  <c r="L43"/>
  <c r="P160"/>
  <c r="P43"/>
  <c r="D161"/>
  <c r="D44"/>
  <c r="I161"/>
  <c r="I44"/>
  <c r="M161"/>
  <c r="M44"/>
  <c r="Q161"/>
  <c r="Q44"/>
  <c r="E162"/>
  <c r="E45"/>
  <c r="J162"/>
  <c r="J45"/>
  <c r="N162"/>
  <c r="N45"/>
  <c r="F163"/>
  <c r="F46"/>
  <c r="K163"/>
  <c r="K46"/>
  <c r="O163"/>
  <c r="O46"/>
  <c r="H164"/>
  <c r="H47"/>
  <c r="L164"/>
  <c r="L47"/>
  <c r="P164"/>
  <c r="P47"/>
  <c r="D165"/>
  <c r="D48"/>
  <c r="I165"/>
  <c r="I48"/>
  <c r="M165"/>
  <c r="M48"/>
  <c r="E166"/>
  <c r="E49"/>
  <c r="J166"/>
  <c r="J49"/>
  <c r="N166"/>
  <c r="N49"/>
  <c r="F167"/>
  <c r="F50"/>
  <c r="K167"/>
  <c r="K50"/>
  <c r="O50"/>
  <c r="O167"/>
  <c r="C168"/>
  <c r="C51"/>
  <c r="H168"/>
  <c r="H51"/>
  <c r="L168"/>
  <c r="L51"/>
  <c r="P168"/>
  <c r="P51"/>
  <c r="D169"/>
  <c r="D52"/>
  <c r="I169"/>
  <c r="I52"/>
  <c r="Q169"/>
  <c r="Q52"/>
  <c r="E53"/>
  <c r="E170"/>
  <c r="J170"/>
  <c r="J53"/>
  <c r="N170"/>
  <c r="N53"/>
  <c r="F171"/>
  <c r="F54"/>
  <c r="K171"/>
  <c r="K54"/>
  <c r="O171"/>
  <c r="O54"/>
  <c r="C172"/>
  <c r="C55"/>
  <c r="H172"/>
  <c r="H55"/>
  <c r="L172"/>
  <c r="L55"/>
  <c r="P172"/>
  <c r="P55"/>
  <c r="D173"/>
  <c r="D56"/>
  <c r="I173"/>
  <c r="I56"/>
  <c r="M173"/>
  <c r="M56"/>
  <c r="Q173"/>
  <c r="Q56"/>
  <c r="E174"/>
  <c r="E57"/>
  <c r="J174"/>
  <c r="J57"/>
  <c r="N174"/>
  <c r="N57"/>
  <c r="F175"/>
  <c r="F58"/>
  <c r="K175"/>
  <c r="K58"/>
  <c r="O175"/>
  <c r="O58"/>
  <c r="A201" i="2"/>
  <c r="C176" i="5"/>
  <c r="C59"/>
  <c r="H176"/>
  <c r="H59"/>
  <c r="L176"/>
  <c r="L59"/>
  <c r="P176"/>
  <c r="P59"/>
  <c r="D177"/>
  <c r="D60"/>
  <c r="I177"/>
  <c r="I60"/>
  <c r="M177"/>
  <c r="M60"/>
  <c r="Q177"/>
  <c r="Q60"/>
  <c r="E178"/>
  <c r="E61"/>
  <c r="J178"/>
  <c r="J61"/>
  <c r="N178"/>
  <c r="N61"/>
  <c r="F179"/>
  <c r="F62"/>
  <c r="K179"/>
  <c r="K62"/>
  <c r="O179"/>
  <c r="O62"/>
  <c r="H180"/>
  <c r="H63"/>
  <c r="L180"/>
  <c r="L63"/>
  <c r="P180"/>
  <c r="P63"/>
  <c r="D181"/>
  <c r="D64"/>
  <c r="I181"/>
  <c r="I64"/>
  <c r="M181"/>
  <c r="M64"/>
  <c r="Q181"/>
  <c r="Q64"/>
  <c r="E182"/>
  <c r="E65"/>
  <c r="J182"/>
  <c r="J65"/>
  <c r="N182"/>
  <c r="N65"/>
  <c r="F183"/>
  <c r="F66"/>
  <c r="K183"/>
  <c r="K66"/>
  <c r="O183"/>
  <c r="O66"/>
  <c r="C184"/>
  <c r="C67"/>
  <c r="H184"/>
  <c r="H67"/>
  <c r="L184"/>
  <c r="L67"/>
  <c r="P184"/>
  <c r="P67"/>
  <c r="D185"/>
  <c r="D68"/>
  <c r="M68"/>
  <c r="M185"/>
  <c r="Q185"/>
  <c r="Q68"/>
  <c r="N186"/>
  <c r="N307"/>
  <c r="N384"/>
  <c r="L62" i="3"/>
  <c r="N69" i="5"/>
  <c r="N268"/>
  <c r="F187"/>
  <c r="F308"/>
  <c r="F385"/>
  <c r="D63" i="3"/>
  <c r="F70" i="5"/>
  <c r="F269"/>
  <c r="F349"/>
  <c r="D27" i="3"/>
  <c r="C188" i="5"/>
  <c r="C71"/>
  <c r="C270"/>
  <c r="L188"/>
  <c r="L309"/>
  <c r="L386"/>
  <c r="J64" i="3"/>
  <c r="L71" i="5"/>
  <c r="L270"/>
  <c r="P188"/>
  <c r="P309"/>
  <c r="P386"/>
  <c r="N64" i="3"/>
  <c r="P71" i="5"/>
  <c r="P270"/>
  <c r="D189"/>
  <c r="D72"/>
  <c r="I189"/>
  <c r="I72"/>
  <c r="F191"/>
  <c r="F74"/>
  <c r="C192"/>
  <c r="C75"/>
  <c r="P192"/>
  <c r="P75"/>
  <c r="D193"/>
  <c r="D76"/>
  <c r="I193"/>
  <c r="I76"/>
  <c r="N194"/>
  <c r="N77"/>
  <c r="C195"/>
  <c r="C87"/>
  <c r="C274"/>
  <c r="C351"/>
  <c r="A29" i="3"/>
  <c r="C204" i="5"/>
  <c r="C319"/>
  <c r="C396"/>
  <c r="A74" i="3"/>
  <c r="C96" i="5"/>
  <c r="G183"/>
  <c r="G66"/>
  <c r="G62"/>
  <c r="G179"/>
  <c r="G175"/>
  <c r="G58"/>
  <c r="F259" i="2"/>
  <c r="G117" i="5"/>
  <c r="G171"/>
  <c r="G54"/>
  <c r="G167"/>
  <c r="G50"/>
  <c r="G46"/>
  <c r="G163"/>
  <c r="G155"/>
  <c r="G306"/>
  <c r="G383"/>
  <c r="E61" i="3"/>
  <c r="G38" i="5"/>
  <c r="G151"/>
  <c r="G302"/>
  <c r="G379"/>
  <c r="E57" i="3"/>
  <c r="G34" i="5"/>
  <c r="G30"/>
  <c r="G147"/>
  <c r="G298"/>
  <c r="G375"/>
  <c r="E53" i="3"/>
  <c r="G143" i="5"/>
  <c r="G294"/>
  <c r="G371"/>
  <c r="E49" i="3"/>
  <c r="G26" i="5"/>
  <c r="G255"/>
  <c r="G335"/>
  <c r="E13" i="3"/>
  <c r="G140" i="5"/>
  <c r="G14"/>
  <c r="G136"/>
  <c r="G10"/>
  <c r="A58" i="2"/>
  <c r="G270"/>
  <c r="H128" i="5"/>
  <c r="B223" i="2"/>
  <c r="C81" i="5"/>
  <c r="B199" i="2"/>
  <c r="A199"/>
  <c r="L255"/>
  <c r="M221" i="5"/>
  <c r="L263" i="2"/>
  <c r="M229" i="5"/>
  <c r="E252"/>
  <c r="D211" i="2"/>
  <c r="B83" i="5"/>
  <c r="D234" i="2"/>
  <c r="E92" i="5"/>
  <c r="G240" i="2"/>
  <c r="H98" i="5"/>
  <c r="G248" i="2"/>
  <c r="H214" i="5"/>
  <c r="D264" i="2"/>
  <c r="E122" i="5"/>
  <c r="E124"/>
  <c r="G268" i="2"/>
  <c r="H234" i="5"/>
  <c r="D270" i="2"/>
  <c r="E236" i="5"/>
  <c r="F261" i="2"/>
  <c r="G119" i="5"/>
  <c r="F253" i="2"/>
  <c r="F228"/>
  <c r="F224"/>
  <c r="F220"/>
  <c r="F216"/>
  <c r="F212"/>
  <c r="A132"/>
  <c r="A118"/>
  <c r="A68"/>
  <c r="B203"/>
  <c r="I270"/>
  <c r="J236" i="5"/>
  <c r="I266" i="2"/>
  <c r="J124" i="5"/>
  <c r="I262" i="2"/>
  <c r="J120" i="5"/>
  <c r="I258" i="2"/>
  <c r="J224" i="5"/>
  <c r="I254" i="2"/>
  <c r="J112" i="5"/>
  <c r="I250" i="2"/>
  <c r="I246"/>
  <c r="I242"/>
  <c r="J208" i="5"/>
  <c r="I238" i="2"/>
  <c r="J96" i="5"/>
  <c r="I234" i="2"/>
  <c r="I230"/>
  <c r="J88" i="5"/>
  <c r="L229" i="2"/>
  <c r="M195" i="5"/>
  <c r="M310"/>
  <c r="M387"/>
  <c r="K65" i="3"/>
  <c r="L233" i="2"/>
  <c r="M199" i="5"/>
  <c r="M314"/>
  <c r="M391"/>
  <c r="K69" i="3"/>
  <c r="L237" i="2"/>
  <c r="M203" i="5"/>
  <c r="M318"/>
  <c r="M395"/>
  <c r="K73" i="3"/>
  <c r="L241" i="2"/>
  <c r="M207" i="5"/>
  <c r="M322"/>
  <c r="M399"/>
  <c r="K77" i="3"/>
  <c r="L245" i="2"/>
  <c r="M211" i="5"/>
  <c r="L249" i="2"/>
  <c r="M215" i="5"/>
  <c r="L253" i="2"/>
  <c r="M219" i="5"/>
  <c r="L261" i="2"/>
  <c r="M227" i="5"/>
  <c r="L265" i="2"/>
  <c r="M123" i="5"/>
  <c r="L269" i="2"/>
  <c r="M127" i="5"/>
  <c r="L273" i="2"/>
  <c r="M131" i="5"/>
  <c r="L166"/>
  <c r="L49"/>
  <c r="I167"/>
  <c r="I50"/>
  <c r="Q167"/>
  <c r="Q50"/>
  <c r="J168"/>
  <c r="J51"/>
  <c r="N168"/>
  <c r="N51"/>
  <c r="F169"/>
  <c r="F52"/>
  <c r="K169"/>
  <c r="K52"/>
  <c r="O169"/>
  <c r="O52"/>
  <c r="H170"/>
  <c r="H53"/>
  <c r="P170"/>
  <c r="P53"/>
  <c r="I171"/>
  <c r="I54"/>
  <c r="Q171"/>
  <c r="Q54"/>
  <c r="J172"/>
  <c r="J55"/>
  <c r="N172"/>
  <c r="N55"/>
  <c r="F173"/>
  <c r="F56"/>
  <c r="K56"/>
  <c r="K173"/>
  <c r="O173"/>
  <c r="O56"/>
  <c r="P174"/>
  <c r="P57"/>
  <c r="I175"/>
  <c r="I58"/>
  <c r="Q175"/>
  <c r="Q58"/>
  <c r="F177"/>
  <c r="F60"/>
  <c r="O177"/>
  <c r="O60"/>
  <c r="H178"/>
  <c r="H61"/>
  <c r="D179"/>
  <c r="D62"/>
  <c r="M179"/>
  <c r="M62"/>
  <c r="E180"/>
  <c r="E63"/>
  <c r="J180"/>
  <c r="J63"/>
  <c r="K64"/>
  <c r="K181"/>
  <c r="D183"/>
  <c r="D66"/>
  <c r="M66"/>
  <c r="M183"/>
  <c r="E184"/>
  <c r="E67"/>
  <c r="K185"/>
  <c r="K68"/>
  <c r="O185"/>
  <c r="O68"/>
  <c r="H186"/>
  <c r="H307"/>
  <c r="H384"/>
  <c r="F62" i="3"/>
  <c r="H69" i="5"/>
  <c r="H268"/>
  <c r="D187"/>
  <c r="D308"/>
  <c r="D385"/>
  <c r="B63" i="3"/>
  <c r="D70" i="5"/>
  <c r="D269"/>
  <c r="D349"/>
  <c r="B27" i="3"/>
  <c r="L190" i="5"/>
  <c r="L73"/>
  <c r="D191"/>
  <c r="D74"/>
  <c r="L194"/>
  <c r="L77"/>
  <c r="C200"/>
  <c r="C315"/>
  <c r="C392"/>
  <c r="A70" i="3"/>
  <c r="C92" i="5"/>
  <c r="C236"/>
  <c r="C128"/>
  <c r="G169"/>
  <c r="G52"/>
  <c r="G161"/>
  <c r="G44"/>
  <c r="G153"/>
  <c r="G304"/>
  <c r="G381"/>
  <c r="E59" i="3"/>
  <c r="G36" i="5"/>
  <c r="G145"/>
  <c r="G296"/>
  <c r="G373"/>
  <c r="E51" i="3"/>
  <c r="G28" i="5"/>
  <c r="G134"/>
  <c r="G291"/>
  <c r="G368"/>
  <c r="E46" i="3"/>
  <c r="G8" i="5"/>
  <c r="G249"/>
  <c r="G332"/>
  <c r="E10" i="3"/>
  <c r="O140" i="5"/>
  <c r="O14"/>
  <c r="A148" i="2"/>
  <c r="C6" i="5"/>
  <c r="C132"/>
  <c r="C289"/>
  <c r="H132"/>
  <c r="H289"/>
  <c r="H366"/>
  <c r="F44" i="3"/>
  <c r="H6" i="5"/>
  <c r="H247"/>
  <c r="L132"/>
  <c r="L289"/>
  <c r="L366"/>
  <c r="J44" i="3"/>
  <c r="L6" i="5"/>
  <c r="L247"/>
  <c r="P132"/>
  <c r="P289"/>
  <c r="P366"/>
  <c r="N44" i="3"/>
  <c r="P6" i="5"/>
  <c r="P247"/>
  <c r="D133"/>
  <c r="D290"/>
  <c r="D367"/>
  <c r="B45" i="3"/>
  <c r="D7" i="5"/>
  <c r="D248"/>
  <c r="D331"/>
  <c r="B9" i="3"/>
  <c r="I133" i="5"/>
  <c r="I290"/>
  <c r="I367"/>
  <c r="G45" i="3"/>
  <c r="I7" i="5"/>
  <c r="I248"/>
  <c r="I331"/>
  <c r="G9" i="3"/>
  <c r="M133" i="5"/>
  <c r="M290"/>
  <c r="M367"/>
  <c r="K45" i="3"/>
  <c r="M7" i="5"/>
  <c r="M248"/>
  <c r="M331"/>
  <c r="K9" i="3"/>
  <c r="Q133" i="5"/>
  <c r="Q7"/>
  <c r="Q248"/>
  <c r="Q331"/>
  <c r="O9" i="3"/>
  <c r="E134" i="5"/>
  <c r="E8"/>
  <c r="J134"/>
  <c r="J8"/>
  <c r="J249"/>
  <c r="J332"/>
  <c r="H10" i="3"/>
  <c r="N134" i="5"/>
  <c r="N291"/>
  <c r="N368"/>
  <c r="L46" i="3"/>
  <c r="N8" i="5"/>
  <c r="N249"/>
  <c r="N332"/>
  <c r="L10" i="3"/>
  <c r="F135" i="5"/>
  <c r="F9"/>
  <c r="K135"/>
  <c r="K9"/>
  <c r="O9"/>
  <c r="O135"/>
  <c r="H136"/>
  <c r="H10"/>
  <c r="L136"/>
  <c r="L10"/>
  <c r="P136"/>
  <c r="P10"/>
  <c r="D137"/>
  <c r="D11"/>
  <c r="I137"/>
  <c r="I11"/>
  <c r="M137"/>
  <c r="M11"/>
  <c r="Q137"/>
  <c r="Q11"/>
  <c r="D217" i="2"/>
  <c r="E12" i="5"/>
  <c r="E138"/>
  <c r="J138"/>
  <c r="J12"/>
  <c r="N138"/>
  <c r="N12"/>
  <c r="F139"/>
  <c r="F13"/>
  <c r="K139"/>
  <c r="K13"/>
  <c r="H140"/>
  <c r="H14"/>
  <c r="L140"/>
  <c r="L14"/>
  <c r="P140"/>
  <c r="P14"/>
  <c r="D229" i="2"/>
  <c r="E195" i="5"/>
  <c r="E141"/>
  <c r="E24"/>
  <c r="J141"/>
  <c r="J24"/>
  <c r="N141"/>
  <c r="N292"/>
  <c r="N369"/>
  <c r="L47" i="3"/>
  <c r="N24" i="5"/>
  <c r="N253"/>
  <c r="N333"/>
  <c r="L11" i="3"/>
  <c r="K142" i="5"/>
  <c r="K293"/>
  <c r="K370"/>
  <c r="I48" i="3"/>
  <c r="K25" i="5"/>
  <c r="O142"/>
  <c r="O293"/>
  <c r="O370"/>
  <c r="M48" i="3"/>
  <c r="O25" i="5"/>
  <c r="G231" i="2"/>
  <c r="H197" i="5"/>
  <c r="H312"/>
  <c r="H389"/>
  <c r="F67" i="3"/>
  <c r="H143" i="5"/>
  <c r="H294"/>
  <c r="H371"/>
  <c r="F49" i="3"/>
  <c r="H26" i="5"/>
  <c r="H255"/>
  <c r="H335"/>
  <c r="F13" i="3"/>
  <c r="L143" i="5"/>
  <c r="L294"/>
  <c r="L371"/>
  <c r="J49" i="3"/>
  <c r="L26" i="5"/>
  <c r="L255"/>
  <c r="L335"/>
  <c r="J13" i="3"/>
  <c r="P143" i="5"/>
  <c r="P294"/>
  <c r="P371"/>
  <c r="N49" i="3"/>
  <c r="P26" i="5"/>
  <c r="P255"/>
  <c r="P335"/>
  <c r="N13" i="3"/>
  <c r="D144" i="5"/>
  <c r="D295"/>
  <c r="D372"/>
  <c r="B50" i="3"/>
  <c r="D27" i="5"/>
  <c r="D256"/>
  <c r="D336"/>
  <c r="B14" i="3"/>
  <c r="I144" i="5"/>
  <c r="I295"/>
  <c r="I372"/>
  <c r="G50" i="3"/>
  <c r="I27" i="5"/>
  <c r="I256"/>
  <c r="I336"/>
  <c r="G14" i="3"/>
  <c r="M144" i="5"/>
  <c r="M295"/>
  <c r="M372"/>
  <c r="K50" i="3"/>
  <c r="M27" i="5"/>
  <c r="Q27"/>
  <c r="Q144"/>
  <c r="E145"/>
  <c r="E28"/>
  <c r="J145"/>
  <c r="J28"/>
  <c r="N145"/>
  <c r="N296"/>
  <c r="N373"/>
  <c r="L51" i="3"/>
  <c r="N28" i="5"/>
  <c r="F146"/>
  <c r="F297"/>
  <c r="F374"/>
  <c r="D52" i="3"/>
  <c r="F29" i="5"/>
  <c r="K146"/>
  <c r="K297"/>
  <c r="K374"/>
  <c r="I52" i="3"/>
  <c r="K29" i="5"/>
  <c r="O146"/>
  <c r="O297"/>
  <c r="O374"/>
  <c r="M52" i="3"/>
  <c r="O29" i="5"/>
  <c r="G235" i="2"/>
  <c r="H201" i="5"/>
  <c r="H316"/>
  <c r="H393"/>
  <c r="F71" i="3"/>
  <c r="H147" i="5"/>
  <c r="H298"/>
  <c r="H375"/>
  <c r="F53" i="3"/>
  <c r="H30" i="5"/>
  <c r="L147"/>
  <c r="L298"/>
  <c r="L375"/>
  <c r="J53" i="3"/>
  <c r="L30" i="5"/>
  <c r="L259"/>
  <c r="L339"/>
  <c r="J17" i="3"/>
  <c r="D148" i="5"/>
  <c r="D299"/>
  <c r="D376"/>
  <c r="B54" i="3"/>
  <c r="D31" i="5"/>
  <c r="D260"/>
  <c r="D340"/>
  <c r="B18" i="3"/>
  <c r="I148" i="5"/>
  <c r="I299"/>
  <c r="I376"/>
  <c r="G54" i="3"/>
  <c r="I31" i="5"/>
  <c r="I260"/>
  <c r="I340"/>
  <c r="G18" i="3"/>
  <c r="M148" i="5"/>
  <c r="M299"/>
  <c r="M376"/>
  <c r="K54" i="3"/>
  <c r="M31" i="5"/>
  <c r="Q31"/>
  <c r="Q148"/>
  <c r="Q299"/>
  <c r="Q376"/>
  <c r="O54" i="3"/>
  <c r="E149" i="5"/>
  <c r="E32"/>
  <c r="J149"/>
  <c r="J32"/>
  <c r="N149"/>
  <c r="N300"/>
  <c r="N377"/>
  <c r="L55" i="3"/>
  <c r="N32" i="5"/>
  <c r="N261"/>
  <c r="N341"/>
  <c r="L19" i="3"/>
  <c r="F150" i="5"/>
  <c r="F301"/>
  <c r="F378"/>
  <c r="D56" i="3"/>
  <c r="F33" i="5"/>
  <c r="F262"/>
  <c r="F342"/>
  <c r="D20" i="3"/>
  <c r="K150" i="5"/>
  <c r="K301"/>
  <c r="K378"/>
  <c r="I56" i="3"/>
  <c r="K33" i="5"/>
  <c r="O150"/>
  <c r="O301"/>
  <c r="O378"/>
  <c r="M56" i="3"/>
  <c r="O33" i="5"/>
  <c r="O262"/>
  <c r="O342"/>
  <c r="M20" i="3"/>
  <c r="H151" i="5"/>
  <c r="H302"/>
  <c r="H379"/>
  <c r="F57" i="3"/>
  <c r="H34" i="5"/>
  <c r="L151"/>
  <c r="L302"/>
  <c r="L379"/>
  <c r="J57" i="3"/>
  <c r="L34" i="5"/>
  <c r="L263"/>
  <c r="L343"/>
  <c r="J21" i="3"/>
  <c r="P151" i="5"/>
  <c r="P302"/>
  <c r="P379"/>
  <c r="N57" i="3"/>
  <c r="P34" i="5"/>
  <c r="P263"/>
  <c r="P343"/>
  <c r="N21" i="3"/>
  <c r="D152" i="5"/>
  <c r="D303"/>
  <c r="D380"/>
  <c r="B58" i="3"/>
  <c r="D35" i="5"/>
  <c r="D264"/>
  <c r="D344"/>
  <c r="B22" i="3"/>
  <c r="I152" i="5"/>
  <c r="I303"/>
  <c r="I380"/>
  <c r="G58" i="3"/>
  <c r="I35" i="5"/>
  <c r="I264"/>
  <c r="I344"/>
  <c r="G22" i="3"/>
  <c r="M152" i="5"/>
  <c r="M303"/>
  <c r="M380"/>
  <c r="K58" i="3"/>
  <c r="M35" i="5"/>
  <c r="M264"/>
  <c r="M344"/>
  <c r="K22" i="3"/>
  <c r="Q35" i="5"/>
  <c r="Q152"/>
  <c r="E153"/>
  <c r="E36"/>
  <c r="J153"/>
  <c r="J36"/>
  <c r="N153"/>
  <c r="N304"/>
  <c r="N381"/>
  <c r="L59" i="3"/>
  <c r="N36" i="5"/>
  <c r="F154"/>
  <c r="F305"/>
  <c r="F382"/>
  <c r="D60" i="3"/>
  <c r="F37" i="5"/>
  <c r="K154"/>
  <c r="K305"/>
  <c r="K382"/>
  <c r="I60" i="3"/>
  <c r="K37" i="5"/>
  <c r="O154"/>
  <c r="O305"/>
  <c r="O382"/>
  <c r="M60" i="3"/>
  <c r="O37" i="5"/>
  <c r="H155"/>
  <c r="H306"/>
  <c r="H383"/>
  <c r="F61" i="3"/>
  <c r="H38" i="5"/>
  <c r="L155"/>
  <c r="L306"/>
  <c r="L383"/>
  <c r="J61" i="3"/>
  <c r="L38" i="5"/>
  <c r="P155"/>
  <c r="P306"/>
  <c r="P383"/>
  <c r="N61" i="3"/>
  <c r="P38" i="5"/>
  <c r="D156"/>
  <c r="D39"/>
  <c r="I156"/>
  <c r="I39"/>
  <c r="M156"/>
  <c r="M39"/>
  <c r="Q39"/>
  <c r="Q156"/>
  <c r="D245" i="2"/>
  <c r="E103" i="5"/>
  <c r="E157"/>
  <c r="E40"/>
  <c r="J157"/>
  <c r="J40"/>
  <c r="N157"/>
  <c r="N40"/>
  <c r="F158"/>
  <c r="F41"/>
  <c r="K158"/>
  <c r="K41"/>
  <c r="O158"/>
  <c r="O41"/>
  <c r="H159"/>
  <c r="H42"/>
  <c r="L159"/>
  <c r="L42"/>
  <c r="P159"/>
  <c r="P42"/>
  <c r="D160"/>
  <c r="D43"/>
  <c r="I160"/>
  <c r="I43"/>
  <c r="M160"/>
  <c r="M43"/>
  <c r="Q43"/>
  <c r="Q160"/>
  <c r="E161"/>
  <c r="E44"/>
  <c r="J161"/>
  <c r="J44"/>
  <c r="N161"/>
  <c r="N44"/>
  <c r="F162"/>
  <c r="F45"/>
  <c r="K162"/>
  <c r="K45"/>
  <c r="O162"/>
  <c r="O45"/>
  <c r="H163"/>
  <c r="H46"/>
  <c r="L163"/>
  <c r="L46"/>
  <c r="P163"/>
  <c r="P46"/>
  <c r="D164"/>
  <c r="D47"/>
  <c r="I164"/>
  <c r="I47"/>
  <c r="M164"/>
  <c r="M47"/>
  <c r="Q47"/>
  <c r="Q164"/>
  <c r="E165"/>
  <c r="E48"/>
  <c r="J165"/>
  <c r="J48"/>
  <c r="N165"/>
  <c r="N48"/>
  <c r="F166"/>
  <c r="F49"/>
  <c r="K166"/>
  <c r="K49"/>
  <c r="O166"/>
  <c r="O49"/>
  <c r="H167"/>
  <c r="H50"/>
  <c r="L167"/>
  <c r="L50"/>
  <c r="P167"/>
  <c r="P50"/>
  <c r="D168"/>
  <c r="D51"/>
  <c r="I168"/>
  <c r="I51"/>
  <c r="M168"/>
  <c r="M51"/>
  <c r="Q51"/>
  <c r="Q168"/>
  <c r="E169"/>
  <c r="E52"/>
  <c r="J169"/>
  <c r="J52"/>
  <c r="N169"/>
  <c r="N52"/>
  <c r="F170"/>
  <c r="F53"/>
  <c r="K170"/>
  <c r="K53"/>
  <c r="O170"/>
  <c r="O53"/>
  <c r="H171"/>
  <c r="H54"/>
  <c r="L171"/>
  <c r="L54"/>
  <c r="P171"/>
  <c r="P54"/>
  <c r="D172"/>
  <c r="D55"/>
  <c r="I172"/>
  <c r="I55"/>
  <c r="M172"/>
  <c r="M55"/>
  <c r="Q55"/>
  <c r="Q172"/>
  <c r="E173"/>
  <c r="E56"/>
  <c r="N173"/>
  <c r="N56"/>
  <c r="F174"/>
  <c r="F57"/>
  <c r="K174"/>
  <c r="K57"/>
  <c r="O174"/>
  <c r="O57"/>
  <c r="G263" i="2"/>
  <c r="H229" i="5"/>
  <c r="H175"/>
  <c r="H58"/>
  <c r="L175"/>
  <c r="L58"/>
  <c r="P175"/>
  <c r="P58"/>
  <c r="D176"/>
  <c r="D59"/>
  <c r="I176"/>
  <c r="I59"/>
  <c r="M176"/>
  <c r="M59"/>
  <c r="Q59"/>
  <c r="Q176"/>
  <c r="E177"/>
  <c r="E60"/>
  <c r="J177"/>
  <c r="J60"/>
  <c r="N177"/>
  <c r="N60"/>
  <c r="F178"/>
  <c r="F61"/>
  <c r="K178"/>
  <c r="K61"/>
  <c r="O178"/>
  <c r="O61"/>
  <c r="H179"/>
  <c r="H62"/>
  <c r="L179"/>
  <c r="L62"/>
  <c r="P179"/>
  <c r="P62"/>
  <c r="D180"/>
  <c r="D63"/>
  <c r="I180"/>
  <c r="I63"/>
  <c r="M180"/>
  <c r="M63"/>
  <c r="Q63"/>
  <c r="Q180"/>
  <c r="E181"/>
  <c r="E64"/>
  <c r="J181"/>
  <c r="J64"/>
  <c r="N181"/>
  <c r="N64"/>
  <c r="F182"/>
  <c r="F65"/>
  <c r="K65"/>
  <c r="K182"/>
  <c r="O182"/>
  <c r="O65"/>
  <c r="H66"/>
  <c r="H183"/>
  <c r="L183"/>
  <c r="L66"/>
  <c r="P183"/>
  <c r="P66"/>
  <c r="D184"/>
  <c r="D67"/>
  <c r="I184"/>
  <c r="I67"/>
  <c r="M184"/>
  <c r="M67"/>
  <c r="Q184"/>
  <c r="Q67"/>
  <c r="E185"/>
  <c r="D273" i="2"/>
  <c r="E68" i="5"/>
  <c r="J185"/>
  <c r="J68"/>
  <c r="N185"/>
  <c r="N68"/>
  <c r="F186"/>
  <c r="F307"/>
  <c r="F384"/>
  <c r="D62" i="3"/>
  <c r="F69" i="5"/>
  <c r="F268"/>
  <c r="L187"/>
  <c r="L308"/>
  <c r="L385"/>
  <c r="J63" i="3"/>
  <c r="L70" i="5"/>
  <c r="L269"/>
  <c r="P187"/>
  <c r="P308"/>
  <c r="P385"/>
  <c r="N63" i="3"/>
  <c r="P70" i="5"/>
  <c r="P269"/>
  <c r="D188"/>
  <c r="D309"/>
  <c r="D386"/>
  <c r="B64" i="3"/>
  <c r="D71" i="5"/>
  <c r="D270"/>
  <c r="D350"/>
  <c r="B28" i="3"/>
  <c r="I188" i="5"/>
  <c r="I309"/>
  <c r="I386"/>
  <c r="G64" i="3"/>
  <c r="I71" i="5"/>
  <c r="I270"/>
  <c r="N189"/>
  <c r="N72"/>
  <c r="F190"/>
  <c r="F73"/>
  <c r="L191"/>
  <c r="L74"/>
  <c r="P191"/>
  <c r="P74"/>
  <c r="D192"/>
  <c r="D75"/>
  <c r="I192"/>
  <c r="I75"/>
  <c r="N193"/>
  <c r="N76"/>
  <c r="D195"/>
  <c r="D310"/>
  <c r="D387"/>
  <c r="B65" i="3"/>
  <c r="D87" i="5"/>
  <c r="C215"/>
  <c r="C107"/>
  <c r="C220"/>
  <c r="C112"/>
  <c r="C223"/>
  <c r="C115"/>
  <c r="C225"/>
  <c r="C117"/>
  <c r="C227"/>
  <c r="C119"/>
  <c r="G81"/>
  <c r="F270" i="2"/>
  <c r="G128" i="5"/>
  <c r="G182"/>
  <c r="G65"/>
  <c r="F266" i="2"/>
  <c r="G178" i="5"/>
  <c r="G61"/>
  <c r="F262" i="2"/>
  <c r="G120" i="5"/>
  <c r="G174"/>
  <c r="G57"/>
  <c r="G170"/>
  <c r="G53"/>
  <c r="F254" i="2"/>
  <c r="G166" i="5"/>
  <c r="G49"/>
  <c r="G162"/>
  <c r="G45"/>
  <c r="G154"/>
  <c r="G305"/>
  <c r="G382"/>
  <c r="E60" i="3"/>
  <c r="G37" i="5"/>
  <c r="F238" i="2"/>
  <c r="G96" i="5"/>
  <c r="G150"/>
  <c r="G301"/>
  <c r="G378"/>
  <c r="E56" i="3"/>
  <c r="G33" i="5"/>
  <c r="F234" i="2"/>
  <c r="G92" i="5"/>
  <c r="G146"/>
  <c r="G297"/>
  <c r="G374"/>
  <c r="E52" i="3"/>
  <c r="G29" i="5"/>
  <c r="G13"/>
  <c r="G139"/>
  <c r="G135"/>
  <c r="G9"/>
  <c r="A74" i="2"/>
  <c r="B271"/>
  <c r="I272"/>
  <c r="J130" i="5"/>
  <c r="I268" i="2"/>
  <c r="I260"/>
  <c r="J226" i="5"/>
  <c r="L259" i="2"/>
  <c r="M225" i="5"/>
  <c r="L267" i="2"/>
  <c r="M233" i="5"/>
  <c r="A15" i="2"/>
  <c r="E251" i="5"/>
  <c r="A19" i="2"/>
  <c r="A23"/>
  <c r="A31"/>
  <c r="A35"/>
  <c r="A39"/>
  <c r="A47"/>
  <c r="A51"/>
  <c r="A55"/>
  <c r="A63"/>
  <c r="A67"/>
  <c r="A71"/>
  <c r="G212"/>
  <c r="G216"/>
  <c r="D218"/>
  <c r="A79"/>
  <c r="G220"/>
  <c r="D222"/>
  <c r="A83"/>
  <c r="G224"/>
  <c r="D226"/>
  <c r="E84" i="5"/>
  <c r="A87" i="2"/>
  <c r="G232"/>
  <c r="H90" i="5"/>
  <c r="D237" i="2"/>
  <c r="G243"/>
  <c r="H209" i="5"/>
  <c r="H324"/>
  <c r="H401"/>
  <c r="F79" i="3"/>
  <c r="D246" i="2"/>
  <c r="E212" i="5"/>
  <c r="G254" i="2"/>
  <c r="H220" i="5"/>
  <c r="G255" i="2"/>
  <c r="G256"/>
  <c r="H114" i="5"/>
  <c r="G260" i="2"/>
  <c r="H226" i="5"/>
  <c r="D262" i="2"/>
  <c r="E228" i="5"/>
  <c r="G271" i="2"/>
  <c r="F233"/>
  <c r="G91" i="5"/>
  <c r="A113" i="2"/>
  <c r="A98"/>
  <c r="A12"/>
  <c r="B228"/>
  <c r="B215"/>
  <c r="A215"/>
  <c r="I273"/>
  <c r="J239" i="5"/>
  <c r="I269" i="2"/>
  <c r="J127" i="5"/>
  <c r="I265" i="2"/>
  <c r="J231" i="5"/>
  <c r="I257" i="2"/>
  <c r="J115" i="5"/>
  <c r="I253" i="2"/>
  <c r="J219" i="5"/>
  <c r="I249" i="2"/>
  <c r="I245"/>
  <c r="J211" i="5"/>
  <c r="I241" i="2"/>
  <c r="J207" i="5"/>
  <c r="I237" i="2"/>
  <c r="J95" i="5"/>
  <c r="I233" i="2"/>
  <c r="I229"/>
  <c r="J195" i="5"/>
  <c r="J257" i="2"/>
  <c r="K115" i="5"/>
  <c r="J261" i="2"/>
  <c r="K119" i="5"/>
  <c r="J265" i="2"/>
  <c r="K123" i="5"/>
  <c r="J269" i="2"/>
  <c r="K127" i="5"/>
  <c r="J273" i="2"/>
  <c r="K239" i="5"/>
  <c r="N257" i="2"/>
  <c r="N261"/>
  <c r="O119" i="5"/>
  <c r="N265" i="2"/>
  <c r="O123" i="5"/>
  <c r="N269" i="2"/>
  <c r="O127" i="5"/>
  <c r="N273" i="2"/>
  <c r="O239" i="5"/>
  <c r="P229" i="2"/>
  <c r="Q195" i="5"/>
  <c r="P233" i="2"/>
  <c r="Q91" i="5"/>
  <c r="P237" i="2"/>
  <c r="Q95" i="5"/>
  <c r="P241" i="2"/>
  <c r="Q207" i="5"/>
  <c r="P245" i="2"/>
  <c r="Q211" i="5"/>
  <c r="P249" i="2"/>
  <c r="Q107" i="5"/>
  <c r="P253" i="2"/>
  <c r="Q111" i="5"/>
  <c r="P257" i="2"/>
  <c r="Q115" i="5"/>
  <c r="P261" i="2"/>
  <c r="Q227" i="5"/>
  <c r="P265" i="2"/>
  <c r="Q231" i="5"/>
  <c r="P269" i="2"/>
  <c r="Q127" i="5"/>
  <c r="P273" i="2"/>
  <c r="F197" i="5"/>
  <c r="F312"/>
  <c r="F389"/>
  <c r="D67" i="3"/>
  <c r="F89" i="5"/>
  <c r="D199"/>
  <c r="D91"/>
  <c r="D278"/>
  <c r="D355"/>
  <c r="B33" i="3"/>
  <c r="P199" i="5"/>
  <c r="P314"/>
  <c r="P391"/>
  <c r="N69" i="3"/>
  <c r="P91" i="5"/>
  <c r="L200"/>
  <c r="L315"/>
  <c r="L392"/>
  <c r="J70" i="3"/>
  <c r="L92" i="5"/>
  <c r="L202"/>
  <c r="L317"/>
  <c r="L394"/>
  <c r="J72" i="3"/>
  <c r="L94" i="5"/>
  <c r="H204"/>
  <c r="H319"/>
  <c r="H396"/>
  <c r="F74" i="3"/>
  <c r="D209" i="5"/>
  <c r="D101"/>
  <c r="D288"/>
  <c r="D365"/>
  <c r="B43" i="3"/>
  <c r="E210" i="5"/>
  <c r="E102"/>
  <c r="L210"/>
  <c r="L102"/>
  <c r="N211"/>
  <c r="N103"/>
  <c r="I212"/>
  <c r="I104"/>
  <c r="I213"/>
  <c r="I105"/>
  <c r="P214"/>
  <c r="P106"/>
  <c r="I215"/>
  <c r="I107"/>
  <c r="I216"/>
  <c r="I108"/>
  <c r="L217"/>
  <c r="L109"/>
  <c r="E111"/>
  <c r="E219"/>
  <c r="I223"/>
  <c r="I115"/>
  <c r="I224"/>
  <c r="I116"/>
  <c r="N225"/>
  <c r="N117"/>
  <c r="I227"/>
  <c r="I119"/>
  <c r="D229"/>
  <c r="D121"/>
  <c r="D231"/>
  <c r="D123"/>
  <c r="E232"/>
  <c r="N232"/>
  <c r="N124"/>
  <c r="E128"/>
  <c r="L238"/>
  <c r="L130"/>
  <c r="G223"/>
  <c r="G115"/>
  <c r="G217"/>
  <c r="G109"/>
  <c r="G205"/>
  <c r="G320"/>
  <c r="G397"/>
  <c r="E75" i="3"/>
  <c r="G97" i="5"/>
  <c r="N238"/>
  <c r="N130"/>
  <c r="P235"/>
  <c r="P127"/>
  <c r="F225"/>
  <c r="F117"/>
  <c r="P221"/>
  <c r="P113"/>
  <c r="P219"/>
  <c r="P111"/>
  <c r="P213"/>
  <c r="P105"/>
  <c r="L207"/>
  <c r="L322"/>
  <c r="L399"/>
  <c r="J77" i="3"/>
  <c r="L99" i="5"/>
  <c r="J123"/>
  <c r="J119"/>
  <c r="J199"/>
  <c r="K91"/>
  <c r="K207"/>
  <c r="K322"/>
  <c r="K399"/>
  <c r="I77" i="3"/>
  <c r="K99" i="5"/>
  <c r="K211"/>
  <c r="K107"/>
  <c r="K219"/>
  <c r="K227"/>
  <c r="K231"/>
  <c r="P196"/>
  <c r="P311"/>
  <c r="P388"/>
  <c r="N66" i="3"/>
  <c r="P88" i="5"/>
  <c r="F198"/>
  <c r="F313"/>
  <c r="F390"/>
  <c r="D68" i="3"/>
  <c r="F90" i="5"/>
  <c r="N198"/>
  <c r="N313"/>
  <c r="N390"/>
  <c r="L68" i="3"/>
  <c r="N90" i="5"/>
  <c r="E200"/>
  <c r="P201"/>
  <c r="P316"/>
  <c r="P393"/>
  <c r="N71" i="3"/>
  <c r="P93" i="5"/>
  <c r="D203"/>
  <c r="D95"/>
  <c r="D282"/>
  <c r="D359"/>
  <c r="B37" i="3"/>
  <c r="L203" i="5"/>
  <c r="L318"/>
  <c r="L395"/>
  <c r="J73" i="3"/>
  <c r="L95" i="5"/>
  <c r="P204"/>
  <c r="P319"/>
  <c r="P396"/>
  <c r="N74" i="3"/>
  <c r="P96" i="5"/>
  <c r="F205"/>
  <c r="F320"/>
  <c r="F397"/>
  <c r="D75" i="3"/>
  <c r="F97" i="5"/>
  <c r="P206"/>
  <c r="P321"/>
  <c r="P398"/>
  <c r="N76" i="3"/>
  <c r="P98" i="5"/>
  <c r="F207"/>
  <c r="F322"/>
  <c r="F399"/>
  <c r="D77" i="3"/>
  <c r="F99" i="5"/>
  <c r="F208"/>
  <c r="F323"/>
  <c r="F400"/>
  <c r="D78" i="3"/>
  <c r="F100" i="5"/>
  <c r="N208"/>
  <c r="N323"/>
  <c r="N400"/>
  <c r="L78" i="3"/>
  <c r="N100" i="5"/>
  <c r="P209"/>
  <c r="P324"/>
  <c r="P401"/>
  <c r="N79" i="3"/>
  <c r="P101" i="5"/>
  <c r="D211"/>
  <c r="D103"/>
  <c r="D212"/>
  <c r="D104"/>
  <c r="D218"/>
  <c r="D110"/>
  <c r="P218"/>
  <c r="P110"/>
  <c r="N219"/>
  <c r="N111"/>
  <c r="F220"/>
  <c r="F112"/>
  <c r="P220"/>
  <c r="P112"/>
  <c r="F221"/>
  <c r="F113"/>
  <c r="F222"/>
  <c r="F114"/>
  <c r="F226"/>
  <c r="F118"/>
  <c r="P226"/>
  <c r="P118"/>
  <c r="D228"/>
  <c r="D120"/>
  <c r="N228"/>
  <c r="N120"/>
  <c r="N229"/>
  <c r="N121"/>
  <c r="L230"/>
  <c r="L122"/>
  <c r="N231"/>
  <c r="N123"/>
  <c r="F233"/>
  <c r="F125"/>
  <c r="P233"/>
  <c r="P125"/>
  <c r="L235"/>
  <c r="L127"/>
  <c r="N236"/>
  <c r="N128"/>
  <c r="F237"/>
  <c r="F129"/>
  <c r="I239"/>
  <c r="I131"/>
  <c r="G211"/>
  <c r="G103"/>
  <c r="I237"/>
  <c r="I129"/>
  <c r="P229"/>
  <c r="P121"/>
  <c r="F201"/>
  <c r="F316"/>
  <c r="F393"/>
  <c r="D71" i="3"/>
  <c r="F93" i="5"/>
  <c r="E238"/>
  <c r="E130"/>
  <c r="A263" i="2"/>
  <c r="M201" i="5"/>
  <c r="M316"/>
  <c r="M393"/>
  <c r="K71" i="3"/>
  <c r="M93" i="5"/>
  <c r="M213"/>
  <c r="M105"/>
  <c r="M121"/>
  <c r="M237"/>
  <c r="M129"/>
  <c r="O219"/>
  <c r="O111"/>
  <c r="Q201"/>
  <c r="Q101"/>
  <c r="Q209"/>
  <c r="Q213"/>
  <c r="Q105"/>
  <c r="Q221"/>
  <c r="Q113"/>
  <c r="Q117"/>
  <c r="Q225"/>
  <c r="Q125"/>
  <c r="Q233"/>
  <c r="D197"/>
  <c r="D89"/>
  <c r="D276"/>
  <c r="D353"/>
  <c r="B31" i="3"/>
  <c r="D200" i="5"/>
  <c r="D92"/>
  <c r="D279"/>
  <c r="D356"/>
  <c r="B34" i="3"/>
  <c r="F204" i="5"/>
  <c r="F319"/>
  <c r="F396"/>
  <c r="D74" i="3"/>
  <c r="F96" i="5"/>
  <c r="N204"/>
  <c r="N319"/>
  <c r="N396"/>
  <c r="L74" i="3"/>
  <c r="N96" i="5"/>
  <c r="P205"/>
  <c r="P320"/>
  <c r="P397"/>
  <c r="N75" i="3"/>
  <c r="P97" i="5"/>
  <c r="F206"/>
  <c r="F321"/>
  <c r="F398"/>
  <c r="D76" i="3"/>
  <c r="F98" i="5"/>
  <c r="N206"/>
  <c r="N321"/>
  <c r="N398"/>
  <c r="L76" i="3"/>
  <c r="N98" i="5"/>
  <c r="P207"/>
  <c r="P322"/>
  <c r="P399"/>
  <c r="N77" i="3"/>
  <c r="P99" i="5"/>
  <c r="L208"/>
  <c r="L323"/>
  <c r="L400"/>
  <c r="J78" i="3"/>
  <c r="L100" i="5"/>
  <c r="I210"/>
  <c r="I102"/>
  <c r="P212"/>
  <c r="P104"/>
  <c r="F213"/>
  <c r="F105"/>
  <c r="F214"/>
  <c r="F106"/>
  <c r="F215"/>
  <c r="F107"/>
  <c r="H108"/>
  <c r="D219"/>
  <c r="D111"/>
  <c r="E220"/>
  <c r="E112"/>
  <c r="N220"/>
  <c r="N112"/>
  <c r="L221"/>
  <c r="L113"/>
  <c r="E222"/>
  <c r="E114"/>
  <c r="F223"/>
  <c r="F115"/>
  <c r="P223"/>
  <c r="P115"/>
  <c r="P224"/>
  <c r="P116"/>
  <c r="L225"/>
  <c r="L117"/>
  <c r="F227"/>
  <c r="F119"/>
  <c r="L229"/>
  <c r="L121"/>
  <c r="I230"/>
  <c r="I122"/>
  <c r="L231"/>
  <c r="L123"/>
  <c r="D232"/>
  <c r="D124"/>
  <c r="L232"/>
  <c r="L124"/>
  <c r="D233"/>
  <c r="D125"/>
  <c r="N233"/>
  <c r="N125"/>
  <c r="E234"/>
  <c r="E126"/>
  <c r="I235"/>
  <c r="I127"/>
  <c r="D236"/>
  <c r="D128"/>
  <c r="B128"/>
  <c r="D237"/>
  <c r="D129"/>
  <c r="N237"/>
  <c r="N129"/>
  <c r="H238"/>
  <c r="H130"/>
  <c r="D239"/>
  <c r="D131"/>
  <c r="P239"/>
  <c r="P131"/>
  <c r="G226"/>
  <c r="G218"/>
  <c r="G214"/>
  <c r="G106"/>
  <c r="G232"/>
  <c r="G124"/>
  <c r="G220"/>
  <c r="G112"/>
  <c r="P237"/>
  <c r="P129"/>
  <c r="F234"/>
  <c r="F126"/>
  <c r="L227"/>
  <c r="L119"/>
  <c r="I222"/>
  <c r="I114"/>
  <c r="F209"/>
  <c r="F324"/>
  <c r="F401"/>
  <c r="D79" i="3"/>
  <c r="F101" i="5"/>
  <c r="G212"/>
  <c r="G104"/>
  <c r="K218"/>
  <c r="K234"/>
  <c r="M88"/>
  <c r="M204"/>
  <c r="M319"/>
  <c r="M396"/>
  <c r="K74" i="3"/>
  <c r="M232" i="5"/>
  <c r="M124"/>
  <c r="O214"/>
  <c r="Q212"/>
  <c r="Q104"/>
  <c r="Q220"/>
  <c r="Q120"/>
  <c r="E196"/>
  <c r="E88"/>
  <c r="L196"/>
  <c r="L311"/>
  <c r="L388"/>
  <c r="J66" i="3"/>
  <c r="L88" i="5"/>
  <c r="L197"/>
  <c r="L312"/>
  <c r="L389"/>
  <c r="J67" i="3"/>
  <c r="L89" i="5"/>
  <c r="D198"/>
  <c r="D90"/>
  <c r="D277"/>
  <c r="D354"/>
  <c r="B32" i="3"/>
  <c r="I198" i="5"/>
  <c r="I313"/>
  <c r="I390"/>
  <c r="G68" i="3"/>
  <c r="I90" i="5"/>
  <c r="I199"/>
  <c r="I314"/>
  <c r="I391"/>
  <c r="G69" i="3"/>
  <c r="I91" i="5"/>
  <c r="H92"/>
  <c r="P200"/>
  <c r="P315"/>
  <c r="P392"/>
  <c r="N70" i="3"/>
  <c r="P92" i="5"/>
  <c r="L201"/>
  <c r="L316"/>
  <c r="L393"/>
  <c r="J71" i="3"/>
  <c r="L93" i="5"/>
  <c r="H202"/>
  <c r="H317"/>
  <c r="H394"/>
  <c r="F72" i="3"/>
  <c r="H94" i="5"/>
  <c r="P202"/>
  <c r="P317"/>
  <c r="P394"/>
  <c r="N72" i="3"/>
  <c r="P94" i="5"/>
  <c r="F203"/>
  <c r="F318"/>
  <c r="F395"/>
  <c r="D73" i="3"/>
  <c r="F95" i="5"/>
  <c r="P203"/>
  <c r="P318"/>
  <c r="P395"/>
  <c r="N73" i="3"/>
  <c r="P95" i="5"/>
  <c r="E204"/>
  <c r="E96"/>
  <c r="L204"/>
  <c r="L319"/>
  <c r="L396"/>
  <c r="J74" i="3"/>
  <c r="L96" i="5"/>
  <c r="L205"/>
  <c r="L320"/>
  <c r="L397"/>
  <c r="J75" i="3"/>
  <c r="L97" i="5"/>
  <c r="D206"/>
  <c r="D98"/>
  <c r="D285"/>
  <c r="D362"/>
  <c r="B40" i="3"/>
  <c r="L206" i="5"/>
  <c r="L321"/>
  <c r="L398"/>
  <c r="J76" i="3"/>
  <c r="L98" i="5"/>
  <c r="N207"/>
  <c r="N322"/>
  <c r="N399"/>
  <c r="L77" i="3"/>
  <c r="N99" i="5"/>
  <c r="D208"/>
  <c r="D100"/>
  <c r="D287"/>
  <c r="D364"/>
  <c r="B42" i="3"/>
  <c r="I208" i="5"/>
  <c r="I323"/>
  <c r="I400"/>
  <c r="G78" i="3"/>
  <c r="I100" i="5"/>
  <c r="L209"/>
  <c r="L324"/>
  <c r="L401"/>
  <c r="J79" i="3"/>
  <c r="L101" i="5"/>
  <c r="H210"/>
  <c r="H102"/>
  <c r="P210"/>
  <c r="P102"/>
  <c r="I211"/>
  <c r="I103"/>
  <c r="F212"/>
  <c r="F104"/>
  <c r="N212"/>
  <c r="N104"/>
  <c r="D213"/>
  <c r="D105"/>
  <c r="N213"/>
  <c r="N105"/>
  <c r="L214"/>
  <c r="L106"/>
  <c r="D215"/>
  <c r="D107"/>
  <c r="N215"/>
  <c r="N107"/>
  <c r="F216"/>
  <c r="F108"/>
  <c r="N216"/>
  <c r="N108"/>
  <c r="F217"/>
  <c r="F109"/>
  <c r="P217"/>
  <c r="P109"/>
  <c r="H110"/>
  <c r="H218"/>
  <c r="I219"/>
  <c r="I111"/>
  <c r="D220"/>
  <c r="D112"/>
  <c r="I220"/>
  <c r="I112"/>
  <c r="I221"/>
  <c r="I113"/>
  <c r="D222"/>
  <c r="D114"/>
  <c r="L222"/>
  <c r="L114"/>
  <c r="D223"/>
  <c r="D115"/>
  <c r="N223"/>
  <c r="N115"/>
  <c r="F224"/>
  <c r="F116"/>
  <c r="N224"/>
  <c r="N116"/>
  <c r="D225"/>
  <c r="D117"/>
  <c r="L226"/>
  <c r="L118"/>
  <c r="D227"/>
  <c r="D119"/>
  <c r="P227"/>
  <c r="P119"/>
  <c r="F228"/>
  <c r="F120"/>
  <c r="I229"/>
  <c r="I121"/>
  <c r="H230"/>
  <c r="H122"/>
  <c r="P230"/>
  <c r="P122"/>
  <c r="I231"/>
  <c r="I123"/>
  <c r="I232"/>
  <c r="I124"/>
  <c r="L233"/>
  <c r="L125"/>
  <c r="D234"/>
  <c r="D126"/>
  <c r="P234"/>
  <c r="P126"/>
  <c r="F235"/>
  <c r="F127"/>
  <c r="L237"/>
  <c r="L129"/>
  <c r="D238"/>
  <c r="D130"/>
  <c r="N239"/>
  <c r="N131"/>
  <c r="G235"/>
  <c r="G127"/>
  <c r="G219"/>
  <c r="G111"/>
  <c r="G215"/>
  <c r="G107"/>
  <c r="G207"/>
  <c r="G322"/>
  <c r="G399"/>
  <c r="E77" i="3"/>
  <c r="G99" i="5"/>
  <c r="G225"/>
  <c r="F239"/>
  <c r="F131"/>
  <c r="F238"/>
  <c r="F130"/>
  <c r="L236"/>
  <c r="L128"/>
  <c r="I234"/>
  <c r="I126"/>
  <c r="P231"/>
  <c r="P123"/>
  <c r="P225"/>
  <c r="P117"/>
  <c r="N222"/>
  <c r="N114"/>
  <c r="L220"/>
  <c r="L112"/>
  <c r="I218"/>
  <c r="I110"/>
  <c r="P215"/>
  <c r="P107"/>
  <c r="I209"/>
  <c r="I324"/>
  <c r="I401"/>
  <c r="G79" i="3"/>
  <c r="I101" i="5"/>
  <c r="N197"/>
  <c r="N312"/>
  <c r="N389"/>
  <c r="L67" i="3"/>
  <c r="N89" i="5"/>
  <c r="J129"/>
  <c r="J237"/>
  <c r="J125"/>
  <c r="J113"/>
  <c r="J221"/>
  <c r="J217"/>
  <c r="J109"/>
  <c r="J97"/>
  <c r="J205"/>
  <c r="K197"/>
  <c r="K312"/>
  <c r="K389"/>
  <c r="I67" i="3"/>
  <c r="K89" i="5"/>
  <c r="K201"/>
  <c r="K316"/>
  <c r="K393"/>
  <c r="I71" i="3"/>
  <c r="K93" i="5"/>
  <c r="K205"/>
  <c r="K320"/>
  <c r="K397"/>
  <c r="I75" i="3"/>
  <c r="K97" i="5"/>
  <c r="K209"/>
  <c r="K324"/>
  <c r="K401"/>
  <c r="I79" i="3"/>
  <c r="K101" i="5"/>
  <c r="K213"/>
  <c r="K105"/>
  <c r="K217"/>
  <c r="K109"/>
  <c r="K221"/>
  <c r="K113"/>
  <c r="K225"/>
  <c r="K117"/>
  <c r="K229"/>
  <c r="K121"/>
  <c r="K233"/>
  <c r="K125"/>
  <c r="K237"/>
  <c r="K129"/>
  <c r="M95"/>
  <c r="M103"/>
  <c r="M111"/>
  <c r="M115"/>
  <c r="M119"/>
  <c r="M231"/>
  <c r="M235"/>
  <c r="O197"/>
  <c r="O312"/>
  <c r="O389"/>
  <c r="M67" i="3"/>
  <c r="O89" i="5"/>
  <c r="O201"/>
  <c r="O316"/>
  <c r="O393"/>
  <c r="M71" i="3"/>
  <c r="O93" i="5"/>
  <c r="O205"/>
  <c r="O320"/>
  <c r="O397"/>
  <c r="M75" i="3"/>
  <c r="O97" i="5"/>
  <c r="O209"/>
  <c r="O324"/>
  <c r="O401"/>
  <c r="M79" i="3"/>
  <c r="O101" i="5"/>
  <c r="O213"/>
  <c r="O105"/>
  <c r="O217"/>
  <c r="O109"/>
  <c r="O221"/>
  <c r="O113"/>
  <c r="O225"/>
  <c r="O117"/>
  <c r="O229"/>
  <c r="O121"/>
  <c r="O233"/>
  <c r="O125"/>
  <c r="O237"/>
  <c r="O129"/>
  <c r="Q203"/>
  <c r="Q103"/>
  <c r="Q219"/>
  <c r="Q223"/>
  <c r="Q239"/>
  <c r="Q131"/>
  <c r="A266" i="2"/>
  <c r="A234"/>
  <c r="A256"/>
  <c r="M89" i="5"/>
  <c r="M117"/>
  <c r="M125"/>
  <c r="O223"/>
  <c r="O115"/>
  <c r="Q89"/>
  <c r="Q197"/>
  <c r="Q205"/>
  <c r="Q217"/>
  <c r="Q229"/>
  <c r="Q121"/>
  <c r="Q237"/>
  <c r="Q129"/>
  <c r="F196"/>
  <c r="F311"/>
  <c r="F388"/>
  <c r="D66" i="3"/>
  <c r="F88" i="5"/>
  <c r="N196"/>
  <c r="N311"/>
  <c r="N388"/>
  <c r="L66" i="3"/>
  <c r="N88" i="5"/>
  <c r="P197"/>
  <c r="P312"/>
  <c r="P389"/>
  <c r="N67" i="3"/>
  <c r="P89" i="5"/>
  <c r="E90"/>
  <c r="L198"/>
  <c r="L313"/>
  <c r="L390"/>
  <c r="J68" i="3"/>
  <c r="L90" i="5"/>
  <c r="N199"/>
  <c r="N314"/>
  <c r="N391"/>
  <c r="L69" i="3"/>
  <c r="N91" i="5"/>
  <c r="I200"/>
  <c r="I315"/>
  <c r="I392"/>
  <c r="G70" i="3"/>
  <c r="I92" i="5"/>
  <c r="N201"/>
  <c r="N316"/>
  <c r="N393"/>
  <c r="L71" i="3"/>
  <c r="N93" i="5"/>
  <c r="D202"/>
  <c r="D94"/>
  <c r="D281"/>
  <c r="D358"/>
  <c r="B36" i="3"/>
  <c r="I202" i="5"/>
  <c r="I317"/>
  <c r="I394"/>
  <c r="G72" i="3"/>
  <c r="I94" i="5"/>
  <c r="I203"/>
  <c r="I318"/>
  <c r="I395"/>
  <c r="G73" i="3"/>
  <c r="I95" i="5"/>
  <c r="A239" i="2"/>
  <c r="D205" i="5"/>
  <c r="D97"/>
  <c r="D284"/>
  <c r="D361"/>
  <c r="B39" i="3"/>
  <c r="D207" i="5"/>
  <c r="D99"/>
  <c r="D286"/>
  <c r="D363"/>
  <c r="B41" i="3"/>
  <c r="E208" i="5"/>
  <c r="E100"/>
  <c r="N209"/>
  <c r="N324"/>
  <c r="N401"/>
  <c r="L79" i="3"/>
  <c r="N101" i="5"/>
  <c r="D210"/>
  <c r="D102"/>
  <c r="L211"/>
  <c r="L103"/>
  <c r="H104"/>
  <c r="H212"/>
  <c r="N214"/>
  <c r="N106"/>
  <c r="I217"/>
  <c r="I109"/>
  <c r="L218"/>
  <c r="L110"/>
  <c r="L219"/>
  <c r="L111"/>
  <c r="D221"/>
  <c r="D113"/>
  <c r="P222"/>
  <c r="P114"/>
  <c r="H224"/>
  <c r="H116"/>
  <c r="D226"/>
  <c r="D118"/>
  <c r="N226"/>
  <c r="N118"/>
  <c r="L228"/>
  <c r="L120"/>
  <c r="D230"/>
  <c r="D122"/>
  <c r="I236"/>
  <c r="I128"/>
  <c r="I225"/>
  <c r="I117"/>
  <c r="F218"/>
  <c r="F110"/>
  <c r="I201"/>
  <c r="I316"/>
  <c r="I393"/>
  <c r="G71" i="3"/>
  <c r="I93" i="5"/>
  <c r="J128"/>
  <c r="K90"/>
  <c r="K106"/>
  <c r="K214"/>
  <c r="K122"/>
  <c r="K230"/>
  <c r="M224"/>
  <c r="M228"/>
  <c r="O94"/>
  <c r="O102"/>
  <c r="O110"/>
  <c r="O218"/>
  <c r="O238"/>
  <c r="Q88"/>
  <c r="Q204"/>
  <c r="Q108"/>
  <c r="Q124"/>
  <c r="D196"/>
  <c r="D88"/>
  <c r="D275"/>
  <c r="D352"/>
  <c r="B30" i="3"/>
  <c r="I196" i="5"/>
  <c r="I311"/>
  <c r="I388"/>
  <c r="G66" i="3"/>
  <c r="I88" i="5"/>
  <c r="I197"/>
  <c r="I312"/>
  <c r="I389"/>
  <c r="G67" i="3"/>
  <c r="I89" i="5"/>
  <c r="P198"/>
  <c r="P313"/>
  <c r="P390"/>
  <c r="N68" i="3"/>
  <c r="P90" i="5"/>
  <c r="F199"/>
  <c r="F314"/>
  <c r="F391"/>
  <c r="D69" i="3"/>
  <c r="F91" i="5"/>
  <c r="F200"/>
  <c r="F315"/>
  <c r="F392"/>
  <c r="D70" i="3"/>
  <c r="F92" i="5"/>
  <c r="N200"/>
  <c r="N315"/>
  <c r="N392"/>
  <c r="L70" i="3"/>
  <c r="N92" i="5"/>
  <c r="D201"/>
  <c r="D93"/>
  <c r="D280"/>
  <c r="D357"/>
  <c r="B35" i="3"/>
  <c r="F202" i="5"/>
  <c r="F317"/>
  <c r="F394"/>
  <c r="D72" i="3"/>
  <c r="F94" i="5"/>
  <c r="N202"/>
  <c r="N317"/>
  <c r="N394"/>
  <c r="L72" i="3"/>
  <c r="N94" i="5"/>
  <c r="E95"/>
  <c r="E203"/>
  <c r="N203"/>
  <c r="N318"/>
  <c r="N395"/>
  <c r="L73" i="3"/>
  <c r="N95" i="5"/>
  <c r="D204"/>
  <c r="D96"/>
  <c r="D283"/>
  <c r="D360"/>
  <c r="B38" i="3"/>
  <c r="I204" i="5"/>
  <c r="I319"/>
  <c r="I396"/>
  <c r="G74" i="3"/>
  <c r="I96" i="5"/>
  <c r="I205"/>
  <c r="I320"/>
  <c r="I397"/>
  <c r="G75" i="3"/>
  <c r="I97" i="5"/>
  <c r="I206"/>
  <c r="I321"/>
  <c r="I398"/>
  <c r="G76" i="3"/>
  <c r="I98" i="5"/>
  <c r="I207"/>
  <c r="I322"/>
  <c r="I399"/>
  <c r="G77" i="3"/>
  <c r="I99" i="5"/>
  <c r="H208"/>
  <c r="H323"/>
  <c r="H400"/>
  <c r="F78" i="3"/>
  <c r="H100" i="5"/>
  <c r="P208"/>
  <c r="P323"/>
  <c r="P400"/>
  <c r="N78" i="3"/>
  <c r="P100" i="5"/>
  <c r="F210"/>
  <c r="F102"/>
  <c r="N210"/>
  <c r="N102"/>
  <c r="F211"/>
  <c r="F103"/>
  <c r="P211"/>
  <c r="P103"/>
  <c r="L212"/>
  <c r="L104"/>
  <c r="L213"/>
  <c r="L105"/>
  <c r="D214"/>
  <c r="D106"/>
  <c r="I214"/>
  <c r="I106"/>
  <c r="L215"/>
  <c r="L107"/>
  <c r="D216"/>
  <c r="D108"/>
  <c r="L216"/>
  <c r="L108"/>
  <c r="D217"/>
  <c r="D109"/>
  <c r="N217"/>
  <c r="N109"/>
  <c r="F219"/>
  <c r="F111"/>
  <c r="H112"/>
  <c r="H221"/>
  <c r="H113"/>
  <c r="L223"/>
  <c r="L115"/>
  <c r="D224"/>
  <c r="D116"/>
  <c r="L224"/>
  <c r="L116"/>
  <c r="N227"/>
  <c r="N119"/>
  <c r="E120"/>
  <c r="P228"/>
  <c r="P120"/>
  <c r="F229"/>
  <c r="F121"/>
  <c r="F230"/>
  <c r="F122"/>
  <c r="N230"/>
  <c r="N122"/>
  <c r="F231"/>
  <c r="F123"/>
  <c r="F232"/>
  <c r="F124"/>
  <c r="I233"/>
  <c r="I125"/>
  <c r="L234"/>
  <c r="L126"/>
  <c r="D235"/>
  <c r="D127"/>
  <c r="N235"/>
  <c r="N127"/>
  <c r="F236"/>
  <c r="F128"/>
  <c r="H237"/>
  <c r="H129"/>
  <c r="P238"/>
  <c r="P130"/>
  <c r="L239"/>
  <c r="L131"/>
  <c r="G114"/>
  <c r="G222"/>
  <c r="G216"/>
  <c r="G108"/>
  <c r="G210"/>
  <c r="G102"/>
  <c r="G203"/>
  <c r="G318"/>
  <c r="G395"/>
  <c r="E73" i="3"/>
  <c r="G95" i="5"/>
  <c r="I238"/>
  <c r="I130"/>
  <c r="P236"/>
  <c r="P128"/>
  <c r="N234"/>
  <c r="N126"/>
  <c r="P232"/>
  <c r="P124"/>
  <c r="I228"/>
  <c r="I120"/>
  <c r="I226"/>
  <c r="I118"/>
  <c r="N221"/>
  <c r="N113"/>
  <c r="N218"/>
  <c r="N110"/>
  <c r="P216"/>
  <c r="P108"/>
  <c r="N205"/>
  <c r="N320"/>
  <c r="N397"/>
  <c r="L75" i="3"/>
  <c r="N97" i="5"/>
  <c r="L199"/>
  <c r="L314"/>
  <c r="L391"/>
  <c r="J69" i="3"/>
  <c r="L91" i="5"/>
  <c r="E224"/>
  <c r="E116"/>
  <c r="J238"/>
  <c r="J126"/>
  <c r="J234"/>
  <c r="J122"/>
  <c r="J230"/>
  <c r="J114"/>
  <c r="J222"/>
  <c r="J106"/>
  <c r="J214"/>
  <c r="J202"/>
  <c r="J94"/>
  <c r="J198"/>
  <c r="J90"/>
  <c r="K196"/>
  <c r="K311"/>
  <c r="K388"/>
  <c r="I66" i="3"/>
  <c r="K88" i="5"/>
  <c r="K200"/>
  <c r="K315"/>
  <c r="K392"/>
  <c r="I70" i="3"/>
  <c r="K92" i="5"/>
  <c r="K204"/>
  <c r="K319"/>
  <c r="K396"/>
  <c r="I74" i="3"/>
  <c r="K96" i="5"/>
  <c r="K100"/>
  <c r="K208"/>
  <c r="K323"/>
  <c r="K400"/>
  <c r="I78" i="3"/>
  <c r="K212" i="5"/>
  <c r="K104"/>
  <c r="K108"/>
  <c r="K216"/>
  <c r="K220"/>
  <c r="K112"/>
  <c r="K116"/>
  <c r="K224"/>
  <c r="K228"/>
  <c r="K120"/>
  <c r="K124"/>
  <c r="K232"/>
  <c r="K236"/>
  <c r="K128"/>
  <c r="M198"/>
  <c r="M313"/>
  <c r="M390"/>
  <c r="K68" i="3"/>
  <c r="M90" i="5"/>
  <c r="M202"/>
  <c r="M317"/>
  <c r="M394"/>
  <c r="K72" i="3"/>
  <c r="M94" i="5"/>
  <c r="M206"/>
  <c r="M321"/>
  <c r="M398"/>
  <c r="K76" i="3"/>
  <c r="M98" i="5"/>
  <c r="M210"/>
  <c r="M102"/>
  <c r="M214"/>
  <c r="M106"/>
  <c r="M218"/>
  <c r="M110"/>
  <c r="M222"/>
  <c r="M114"/>
  <c r="M226"/>
  <c r="M118"/>
  <c r="M230"/>
  <c r="M122"/>
  <c r="M234"/>
  <c r="M126"/>
  <c r="M238"/>
  <c r="M130"/>
  <c r="O196"/>
  <c r="O311"/>
  <c r="O388"/>
  <c r="M66" i="3"/>
  <c r="O88" i="5"/>
  <c r="O92"/>
  <c r="O200"/>
  <c r="O315"/>
  <c r="O392"/>
  <c r="M70" i="3"/>
  <c r="O204" i="5"/>
  <c r="O319"/>
  <c r="O396"/>
  <c r="M74" i="3"/>
  <c r="O96" i="5"/>
  <c r="O100"/>
  <c r="O208"/>
  <c r="O323"/>
  <c r="O400"/>
  <c r="M78" i="3"/>
  <c r="O212" i="5"/>
  <c r="O104"/>
  <c r="O108"/>
  <c r="O216"/>
  <c r="O220"/>
  <c r="O112"/>
  <c r="O116"/>
  <c r="O224"/>
  <c r="O228"/>
  <c r="O120"/>
  <c r="O124"/>
  <c r="O232"/>
  <c r="O236"/>
  <c r="O128"/>
  <c r="Q198"/>
  <c r="Q90"/>
  <c r="Q202"/>
  <c r="Q94"/>
  <c r="Q206"/>
  <c r="Q98"/>
  <c r="Q210"/>
  <c r="Q102"/>
  <c r="Q214"/>
  <c r="Q106"/>
  <c r="Q218"/>
  <c r="Q110"/>
  <c r="Q222"/>
  <c r="Q114"/>
  <c r="Q226"/>
  <c r="Q118"/>
  <c r="Q230"/>
  <c r="Q122"/>
  <c r="Q234"/>
  <c r="Q126"/>
  <c r="Q238"/>
  <c r="Q130"/>
  <c r="A262" i="2"/>
  <c r="A258"/>
  <c r="A235"/>
  <c r="P195" i="5"/>
  <c r="P310"/>
  <c r="P387"/>
  <c r="N65" i="3"/>
  <c r="P87" i="5"/>
  <c r="G195"/>
  <c r="G310"/>
  <c r="G387"/>
  <c r="E65" i="3"/>
  <c r="G87" i="5"/>
  <c r="L195"/>
  <c r="L310"/>
  <c r="L387"/>
  <c r="J65" i="3"/>
  <c r="L87" i="5"/>
  <c r="F195"/>
  <c r="F310"/>
  <c r="F387"/>
  <c r="D65" i="3"/>
  <c r="F87" i="5"/>
  <c r="N195"/>
  <c r="N310"/>
  <c r="N387"/>
  <c r="L65" i="3"/>
  <c r="N87" i="5"/>
  <c r="I195"/>
  <c r="I310"/>
  <c r="I387"/>
  <c r="G65" i="3"/>
  <c r="I87" i="5"/>
  <c r="M87"/>
  <c r="Q87"/>
  <c r="A11" i="2"/>
  <c r="B152"/>
  <c r="A43"/>
  <c r="B184"/>
  <c r="A59"/>
  <c r="B200"/>
  <c r="B157"/>
  <c r="C15" i="5"/>
  <c r="A16" i="2"/>
  <c r="B173"/>
  <c r="A32"/>
  <c r="B189"/>
  <c r="A189"/>
  <c r="A48"/>
  <c r="B205"/>
  <c r="A205"/>
  <c r="A64"/>
  <c r="B221"/>
  <c r="C79" i="5"/>
  <c r="C272"/>
  <c r="A80" i="2"/>
  <c r="B237"/>
  <c r="A237"/>
  <c r="A96"/>
  <c r="B253"/>
  <c r="A112"/>
  <c r="B269"/>
  <c r="A128"/>
  <c r="D265"/>
  <c r="F267"/>
  <c r="D214"/>
  <c r="D250"/>
  <c r="A28"/>
  <c r="B244"/>
  <c r="B236"/>
  <c r="G213"/>
  <c r="D215"/>
  <c r="G217"/>
  <c r="D219"/>
  <c r="G221"/>
  <c r="H79" i="5"/>
  <c r="H272"/>
  <c r="D223" i="2"/>
  <c r="G225"/>
  <c r="D227"/>
  <c r="G229"/>
  <c r="D231"/>
  <c r="G233"/>
  <c r="D235"/>
  <c r="G237"/>
  <c r="D239"/>
  <c r="A241"/>
  <c r="G241"/>
  <c r="D243"/>
  <c r="G245"/>
  <c r="D247"/>
  <c r="G249"/>
  <c r="D251"/>
  <c r="G253"/>
  <c r="D255"/>
  <c r="G257"/>
  <c r="D259"/>
  <c r="G261"/>
  <c r="D263"/>
  <c r="G265"/>
  <c r="D267"/>
  <c r="G269"/>
  <c r="D271"/>
  <c r="G273"/>
  <c r="F273"/>
  <c r="A129"/>
  <c r="A121"/>
  <c r="A114"/>
  <c r="A108"/>
  <c r="A100"/>
  <c r="A93"/>
  <c r="A86"/>
  <c r="A78"/>
  <c r="A72"/>
  <c r="A65"/>
  <c r="A57"/>
  <c r="A50"/>
  <c r="A44"/>
  <c r="A36"/>
  <c r="A29"/>
  <c r="A22"/>
  <c r="A14"/>
  <c r="A8"/>
  <c r="B260"/>
  <c r="B252"/>
  <c r="B224"/>
  <c r="C82" i="5"/>
  <c r="B196" i="2"/>
  <c r="A196"/>
  <c r="B188"/>
  <c r="B160"/>
  <c r="A27"/>
  <c r="B168"/>
  <c r="A75"/>
  <c r="B216"/>
  <c r="A216"/>
  <c r="A91"/>
  <c r="B232"/>
  <c r="A232"/>
  <c r="A107"/>
  <c r="B248"/>
  <c r="A123"/>
  <c r="B264"/>
  <c r="G228"/>
  <c r="A120"/>
  <c r="A92"/>
  <c r="A84"/>
  <c r="A56"/>
  <c r="A20"/>
  <c r="B272"/>
  <c r="B208"/>
  <c r="A208"/>
  <c r="B180"/>
  <c r="B172"/>
  <c r="A21"/>
  <c r="A163"/>
  <c r="A171"/>
  <c r="A37"/>
  <c r="A179"/>
  <c r="A187"/>
  <c r="A53"/>
  <c r="A69"/>
  <c r="D212"/>
  <c r="A222"/>
  <c r="D224"/>
  <c r="A85"/>
  <c r="A238"/>
  <c r="D240"/>
  <c r="A101"/>
  <c r="A243"/>
  <c r="A254"/>
  <c r="A117"/>
  <c r="A259"/>
  <c r="D260"/>
  <c r="G262"/>
  <c r="G266"/>
  <c r="A270"/>
  <c r="F222"/>
  <c r="G80" i="5"/>
  <c r="A124" i="2"/>
  <c r="A116"/>
  <c r="A102"/>
  <c r="A94"/>
  <c r="A88"/>
  <c r="A81"/>
  <c r="A66"/>
  <c r="A60"/>
  <c r="A52"/>
  <c r="A38"/>
  <c r="A30"/>
  <c r="A24"/>
  <c r="A17"/>
  <c r="B268"/>
  <c r="A255"/>
  <c r="B240"/>
  <c r="A240"/>
  <c r="B226"/>
  <c r="B212"/>
  <c r="B204"/>
  <c r="A204"/>
  <c r="B176"/>
  <c r="B162"/>
  <c r="A164"/>
  <c r="D213"/>
  <c r="G215"/>
  <c r="G219"/>
  <c r="D221"/>
  <c r="E79" i="5"/>
  <c r="D225" i="2"/>
  <c r="G227"/>
  <c r="D233"/>
  <c r="G239"/>
  <c r="D241"/>
  <c r="G247"/>
  <c r="D249"/>
  <c r="G251"/>
  <c r="D257"/>
  <c r="G259"/>
  <c r="D261"/>
  <c r="G267"/>
  <c r="D269"/>
  <c r="F263"/>
  <c r="F255"/>
  <c r="F247"/>
  <c r="F243"/>
  <c r="F235"/>
  <c r="F231"/>
  <c r="F227"/>
  <c r="F219"/>
  <c r="F215"/>
  <c r="F211"/>
  <c r="F258"/>
  <c r="F242"/>
  <c r="F226"/>
  <c r="A273"/>
  <c r="A265"/>
  <c r="A261"/>
  <c r="A257"/>
  <c r="A249"/>
  <c r="A245"/>
  <c r="A233"/>
  <c r="A229"/>
  <c r="A225"/>
  <c r="A217"/>
  <c r="A213"/>
  <c r="A209"/>
  <c r="A193"/>
  <c r="A185"/>
  <c r="A181"/>
  <c r="A177"/>
  <c r="A169"/>
  <c r="A165"/>
  <c r="A161"/>
  <c r="A153"/>
  <c r="A149"/>
  <c r="X149" i="9"/>
  <c r="W149"/>
  <c r="V149"/>
  <c r="U149"/>
  <c r="T149"/>
  <c r="S149"/>
  <c r="R149"/>
  <c r="Q149"/>
  <c r="P149"/>
  <c r="O149"/>
  <c r="N149"/>
  <c r="M149"/>
  <c r="L149"/>
  <c r="K149"/>
  <c r="J149"/>
  <c r="I149"/>
  <c r="H149"/>
  <c r="G149"/>
  <c r="F149"/>
  <c r="E149"/>
  <c r="A250" i="2"/>
  <c r="E218" i="5"/>
  <c r="Q236"/>
  <c r="O230"/>
  <c r="J273"/>
  <c r="M192"/>
  <c r="O75"/>
  <c r="A221" i="2"/>
  <c r="J210" i="5"/>
  <c r="E104"/>
  <c r="H93"/>
  <c r="M216"/>
  <c r="K222"/>
  <c r="K206"/>
  <c r="K321"/>
  <c r="K398"/>
  <c r="I76" i="3"/>
  <c r="O235" i="5"/>
  <c r="O207"/>
  <c r="O322"/>
  <c r="O399"/>
  <c r="M77" i="3"/>
  <c r="Q99" i="5"/>
  <c r="M107"/>
  <c r="M91"/>
  <c r="J93"/>
  <c r="J105"/>
  <c r="O198"/>
  <c r="O313"/>
  <c r="O390"/>
  <c r="M68" i="3"/>
  <c r="M212" i="5"/>
  <c r="O131"/>
  <c r="K131"/>
  <c r="J111"/>
  <c r="J283"/>
  <c r="J360"/>
  <c r="H38" i="3"/>
  <c r="H126" i="5"/>
  <c r="M260"/>
  <c r="M340"/>
  <c r="K18" i="3"/>
  <c r="P9"/>
  <c r="C216" i="5"/>
  <c r="G189"/>
  <c r="C197"/>
  <c r="C312"/>
  <c r="C389"/>
  <c r="A67" i="3"/>
  <c r="G193" i="5"/>
  <c r="K189"/>
  <c r="M70"/>
  <c r="C213"/>
  <c r="Q190"/>
  <c r="A247" i="2"/>
  <c r="M256" i="5"/>
  <c r="M336"/>
  <c r="K14" i="3"/>
  <c r="E211" i="5"/>
  <c r="M97"/>
  <c r="Q235"/>
  <c r="Q320"/>
  <c r="Q397"/>
  <c r="O75" i="3"/>
  <c r="P75"/>
  <c r="J204" i="5"/>
  <c r="A231" i="2"/>
  <c r="K223" i="5"/>
  <c r="J203"/>
  <c r="J318"/>
  <c r="J395"/>
  <c r="H73" i="3"/>
  <c r="J131" i="5"/>
  <c r="K268"/>
  <c r="R345"/>
  <c r="R348"/>
  <c r="J98"/>
  <c r="H222"/>
  <c r="H101"/>
  <c r="K238"/>
  <c r="K202"/>
  <c r="K317"/>
  <c r="K394"/>
  <c r="I72" i="3"/>
  <c r="G199" i="5"/>
  <c r="G314"/>
  <c r="G391"/>
  <c r="E69" i="3"/>
  <c r="O231" i="5"/>
  <c r="O211"/>
  <c r="P54" i="3"/>
  <c r="C233" i="5"/>
  <c r="R269"/>
  <c r="R257"/>
  <c r="R337"/>
  <c r="R270"/>
  <c r="R258"/>
  <c r="R338"/>
  <c r="R350"/>
  <c r="R347"/>
  <c r="A267" i="2"/>
  <c r="M109" i="5"/>
  <c r="G123"/>
  <c r="H206"/>
  <c r="H321"/>
  <c r="H398"/>
  <c r="F76" i="3"/>
  <c r="R349" i="5"/>
  <c r="R346"/>
  <c r="A224" i="2"/>
  <c r="A223"/>
  <c r="J118" i="5"/>
  <c r="J100"/>
  <c r="J287"/>
  <c r="J364"/>
  <c r="H42" i="3"/>
  <c r="Q123" i="5"/>
  <c r="J116"/>
  <c r="J87"/>
  <c r="Q284"/>
  <c r="Q361"/>
  <c r="O39" i="3"/>
  <c r="P39"/>
  <c r="J229" i="5"/>
  <c r="M220"/>
  <c r="J103"/>
  <c r="E94"/>
  <c r="Q270"/>
  <c r="J223"/>
  <c r="J323"/>
  <c r="J400"/>
  <c r="H78" i="3"/>
  <c r="H118" i="5"/>
  <c r="H121"/>
  <c r="J117"/>
  <c r="J274"/>
  <c r="J351"/>
  <c r="H29" i="3"/>
  <c r="J99" i="5"/>
  <c r="H106"/>
  <c r="J220"/>
  <c r="H89"/>
  <c r="G236"/>
  <c r="G126"/>
  <c r="O87"/>
  <c r="O274"/>
  <c r="O351"/>
  <c r="M29" i="3"/>
  <c r="E214" i="5"/>
  <c r="J300"/>
  <c r="J377"/>
  <c r="H55" i="3"/>
  <c r="Q275" i="5"/>
  <c r="Q352"/>
  <c r="O30" i="3"/>
  <c r="P30"/>
  <c r="O254" i="5"/>
  <c r="O334"/>
  <c r="M12" i="3"/>
  <c r="E253" i="5"/>
  <c r="E333"/>
  <c r="C11" i="3"/>
  <c r="Q272" i="5"/>
  <c r="M270"/>
  <c r="E264"/>
  <c r="E344"/>
  <c r="C22" i="3"/>
  <c r="Q259" i="5"/>
  <c r="Q339"/>
  <c r="O17" i="3"/>
  <c r="P17"/>
  <c r="G264" i="5"/>
  <c r="G344"/>
  <c r="E22" i="3"/>
  <c r="J298" i="5"/>
  <c r="J375"/>
  <c r="H53" i="3"/>
  <c r="F348" i="5"/>
  <c r="D26" i="3"/>
  <c r="Q285" i="5"/>
  <c r="Q362"/>
  <c r="O40" i="3"/>
  <c r="P40"/>
  <c r="G262" i="5"/>
  <c r="G342"/>
  <c r="E20" i="3"/>
  <c r="E304" i="5"/>
  <c r="E381"/>
  <c r="C59" i="3"/>
  <c r="M272" i="5"/>
  <c r="B220"/>
  <c r="O268"/>
  <c r="P258"/>
  <c r="P338"/>
  <c r="N16" i="3"/>
  <c r="D266" i="5"/>
  <c r="N265"/>
  <c r="I257"/>
  <c r="I337"/>
  <c r="G15" i="3"/>
  <c r="H265" i="5"/>
  <c r="H345"/>
  <c r="F23" i="3"/>
  <c r="I258" i="5"/>
  <c r="I338"/>
  <c r="G16" i="3"/>
  <c r="D258" i="5"/>
  <c r="D338"/>
  <c r="B16" i="3"/>
  <c r="P267" i="5"/>
  <c r="P350"/>
  <c r="N28" i="3"/>
  <c r="Q257" i="5"/>
  <c r="Q337"/>
  <c r="O15" i="3"/>
  <c r="P15"/>
  <c r="P265" i="5"/>
  <c r="F258"/>
  <c r="F338"/>
  <c r="D16" i="3"/>
  <c r="F265" i="5"/>
  <c r="F345"/>
  <c r="D23" i="3"/>
  <c r="L265" i="5"/>
  <c r="G266"/>
  <c r="K267"/>
  <c r="N266"/>
  <c r="N349"/>
  <c r="L27" i="3"/>
  <c r="D265" i="5"/>
  <c r="D345"/>
  <c r="B23" i="3"/>
  <c r="D267" i="5"/>
  <c r="L266"/>
  <c r="L349"/>
  <c r="J27" i="3"/>
  <c r="N257" i="5"/>
  <c r="N337"/>
  <c r="L15" i="3"/>
  <c r="G265" i="5"/>
  <c r="G345"/>
  <c r="E23" i="3"/>
  <c r="D257" i="5"/>
  <c r="D337"/>
  <c r="B15" i="3"/>
  <c r="L258" i="5"/>
  <c r="L338"/>
  <c r="J16" i="3"/>
  <c r="I266" i="5"/>
  <c r="I349"/>
  <c r="G27" i="3"/>
  <c r="L267" i="5"/>
  <c r="L350"/>
  <c r="J28" i="3"/>
  <c r="F266" i="5"/>
  <c r="F267"/>
  <c r="I265"/>
  <c r="N258"/>
  <c r="N338"/>
  <c r="L16" i="3"/>
  <c r="I267" i="5"/>
  <c r="I350"/>
  <c r="G28" i="3"/>
  <c r="P266" i="5"/>
  <c r="P349"/>
  <c r="N27" i="3"/>
  <c r="F257" i="5"/>
  <c r="F337"/>
  <c r="D15" i="3"/>
  <c r="N267" i="5"/>
  <c r="N350"/>
  <c r="L28" i="3"/>
  <c r="P257" i="5"/>
  <c r="P337"/>
  <c r="N15" i="3"/>
  <c r="L257" i="5"/>
  <c r="L337"/>
  <c r="J15" i="3"/>
  <c r="J284" i="5"/>
  <c r="J361"/>
  <c r="H39" i="3"/>
  <c r="Q278" i="5"/>
  <c r="Q355"/>
  <c r="O33" i="3"/>
  <c r="P33"/>
  <c r="H267" i="5"/>
  <c r="H264"/>
  <c r="H344"/>
  <c r="F22" i="3"/>
  <c r="J262" i="5"/>
  <c r="J342"/>
  <c r="H20" i="3"/>
  <c r="O259" i="5"/>
  <c r="O339"/>
  <c r="M17" i="3"/>
  <c r="C256" i="5"/>
  <c r="C336"/>
  <c r="A14" i="3"/>
  <c r="M253" i="5"/>
  <c r="M333"/>
  <c r="K11" i="3"/>
  <c r="H262" i="5"/>
  <c r="H342"/>
  <c r="F20" i="3"/>
  <c r="J295" i="5"/>
  <c r="J372"/>
  <c r="H50" i="3"/>
  <c r="E306" i="5"/>
  <c r="E383"/>
  <c r="C61" i="3"/>
  <c r="E298" i="5"/>
  <c r="E375"/>
  <c r="C53" i="3"/>
  <c r="E294" i="5"/>
  <c r="E371"/>
  <c r="C49" i="3"/>
  <c r="Q281" i="5"/>
  <c r="Q358"/>
  <c r="O36" i="3"/>
  <c r="P36"/>
  <c r="B109" i="5"/>
  <c r="B108"/>
  <c r="J292"/>
  <c r="J369"/>
  <c r="H47" i="3"/>
  <c r="J291" i="5"/>
  <c r="J368"/>
  <c r="H46" i="3"/>
  <c r="G259" i="5"/>
  <c r="G339"/>
  <c r="E17" i="3"/>
  <c r="Q304" i="5"/>
  <c r="Q381"/>
  <c r="O59" i="3"/>
  <c r="P59"/>
  <c r="H266" i="5"/>
  <c r="J303"/>
  <c r="J380"/>
  <c r="H58" i="3"/>
  <c r="E299" i="5"/>
  <c r="E376"/>
  <c r="C54" i="3"/>
  <c r="Q289" i="5"/>
  <c r="Q366"/>
  <c r="O44" i="3"/>
  <c r="P44"/>
  <c r="M262" i="5"/>
  <c r="M342"/>
  <c r="K20" i="3"/>
  <c r="O260" i="5"/>
  <c r="O340"/>
  <c r="M18" i="3"/>
  <c r="J259" i="5"/>
  <c r="J339"/>
  <c r="H17" i="3"/>
  <c r="O256" i="5"/>
  <c r="O336"/>
  <c r="M14" i="3"/>
  <c r="K266" i="5"/>
  <c r="E265"/>
  <c r="E345"/>
  <c r="C23" i="3"/>
  <c r="J261" i="5"/>
  <c r="J341"/>
  <c r="H19" i="3"/>
  <c r="E296" i="5"/>
  <c r="E373"/>
  <c r="C51" i="3"/>
  <c r="J258" i="5"/>
  <c r="J338"/>
  <c r="H16" i="3"/>
  <c r="E254" i="5"/>
  <c r="E334"/>
  <c r="C12" i="3"/>
  <c r="M267" i="5"/>
  <c r="O265"/>
  <c r="K257"/>
  <c r="K337"/>
  <c r="I15" i="3"/>
  <c r="Q294" i="5"/>
  <c r="Q371"/>
  <c r="O49" i="3"/>
  <c r="P49"/>
  <c r="B105" i="5"/>
  <c r="Q303"/>
  <c r="Q380"/>
  <c r="O58" i="3"/>
  <c r="P58"/>
  <c r="H263" i="5"/>
  <c r="H343"/>
  <c r="F21" i="3"/>
  <c r="K254" i="5"/>
  <c r="K334"/>
  <c r="I12" i="3"/>
  <c r="M274" i="5"/>
  <c r="M351"/>
  <c r="K29" i="3"/>
  <c r="N274" i="5"/>
  <c r="N351"/>
  <c r="L29" i="3"/>
  <c r="L274" i="5"/>
  <c r="L351"/>
  <c r="J29" i="3"/>
  <c r="N284" i="5"/>
  <c r="N361"/>
  <c r="L39" i="3"/>
  <c r="I285" i="5"/>
  <c r="I362"/>
  <c r="G40" i="3"/>
  <c r="I283" i="5"/>
  <c r="I360"/>
  <c r="G38" i="3"/>
  <c r="N282" i="5"/>
  <c r="N359"/>
  <c r="L37" i="3"/>
  <c r="N281" i="5"/>
  <c r="N358"/>
  <c r="L36" i="3"/>
  <c r="I275" i="5"/>
  <c r="I352"/>
  <c r="G30" i="3"/>
  <c r="I281" i="5"/>
  <c r="I358"/>
  <c r="G36" i="3"/>
  <c r="N275" i="5"/>
  <c r="N352"/>
  <c r="L30" i="3"/>
  <c r="M284" i="5"/>
  <c r="M361"/>
  <c r="K39" i="3"/>
  <c r="L283" i="5"/>
  <c r="L360"/>
  <c r="J38" i="3"/>
  <c r="P281" i="5"/>
  <c r="P358"/>
  <c r="N36" i="3"/>
  <c r="L280" i="5"/>
  <c r="L357"/>
  <c r="J35" i="3"/>
  <c r="I277" i="5"/>
  <c r="I354"/>
  <c r="G32" i="3"/>
  <c r="L276" i="5"/>
  <c r="L353"/>
  <c r="J31" i="3"/>
  <c r="P286" i="5"/>
  <c r="P363"/>
  <c r="N41" i="3"/>
  <c r="F285" i="5"/>
  <c r="F362"/>
  <c r="D40" i="3"/>
  <c r="N283" i="5"/>
  <c r="N360"/>
  <c r="L38" i="3"/>
  <c r="N277" i="5"/>
  <c r="N354"/>
  <c r="L32" i="3"/>
  <c r="P275" i="5"/>
  <c r="P352"/>
  <c r="N30" i="3"/>
  <c r="L286" i="5"/>
  <c r="L363"/>
  <c r="J41" i="3"/>
  <c r="P278" i="5"/>
  <c r="P355"/>
  <c r="N33" i="3"/>
  <c r="F276" i="5"/>
  <c r="F353"/>
  <c r="D31" i="3"/>
  <c r="G279" i="5"/>
  <c r="G356"/>
  <c r="E34" i="3"/>
  <c r="O282" i="5"/>
  <c r="O359"/>
  <c r="M37" i="3"/>
  <c r="P274" i="5"/>
  <c r="P351"/>
  <c r="N29" i="3"/>
  <c r="K283" i="5"/>
  <c r="K360"/>
  <c r="I38" i="3"/>
  <c r="O288" i="5"/>
  <c r="O365"/>
  <c r="M43" i="3"/>
  <c r="F280" i="5"/>
  <c r="F357"/>
  <c r="D35" i="3"/>
  <c r="I274" i="5"/>
  <c r="I351"/>
  <c r="G29" i="3"/>
  <c r="G274" i="5"/>
  <c r="G351"/>
  <c r="E29" i="3"/>
  <c r="M277" i="5"/>
  <c r="M354"/>
  <c r="K32" i="3"/>
  <c r="K279" i="5"/>
  <c r="K356"/>
  <c r="I34" i="3"/>
  <c r="I280" i="5"/>
  <c r="I357"/>
  <c r="G35" i="3"/>
  <c r="N288" i="5"/>
  <c r="N365"/>
  <c r="L43" i="3"/>
  <c r="M276" i="5"/>
  <c r="M353"/>
  <c r="K31" i="3"/>
  <c r="O284" i="5"/>
  <c r="O361"/>
  <c r="M39" i="3"/>
  <c r="O276" i="5"/>
  <c r="O353"/>
  <c r="M31" i="3"/>
  <c r="M278" i="5"/>
  <c r="M355"/>
  <c r="K33" i="3"/>
  <c r="I288" i="5"/>
  <c r="I365"/>
  <c r="G43" i="3"/>
  <c r="O277" i="5"/>
  <c r="O354"/>
  <c r="M32" i="3"/>
  <c r="M275" i="5"/>
  <c r="M352"/>
  <c r="K30" i="3"/>
  <c r="P288" i="5"/>
  <c r="P365"/>
  <c r="N43" i="3"/>
  <c r="F287" i="5"/>
  <c r="F364"/>
  <c r="D42" i="3"/>
  <c r="P285" i="5"/>
  <c r="P362"/>
  <c r="N40" i="3"/>
  <c r="F284" i="5"/>
  <c r="F361"/>
  <c r="D39" i="3"/>
  <c r="L282" i="5"/>
  <c r="L359"/>
  <c r="J37" i="3"/>
  <c r="P280" i="5"/>
  <c r="P357"/>
  <c r="N35" i="3"/>
  <c r="K286" i="5"/>
  <c r="K363"/>
  <c r="I41" i="3"/>
  <c r="D274" i="5"/>
  <c r="D351"/>
  <c r="B29" i="3"/>
  <c r="C279" i="5"/>
  <c r="C356"/>
  <c r="A34" i="3"/>
  <c r="C283" i="5"/>
  <c r="C360"/>
  <c r="A38" i="3"/>
  <c r="C276" i="5"/>
  <c r="C353"/>
  <c r="A31" i="3"/>
  <c r="G275" i="5"/>
  <c r="G352"/>
  <c r="E30" i="3"/>
  <c r="C284" i="5"/>
  <c r="C361"/>
  <c r="A39" i="3"/>
  <c r="M283" i="5"/>
  <c r="M360"/>
  <c r="K38" i="3"/>
  <c r="K281" i="5"/>
  <c r="K358"/>
  <c r="I36" i="3"/>
  <c r="Q280" i="5"/>
  <c r="Q357"/>
  <c r="O35" i="3"/>
  <c r="P35"/>
  <c r="E305" i="5"/>
  <c r="E382"/>
  <c r="C60" i="3"/>
  <c r="G253" i="5"/>
  <c r="G333"/>
  <c r="E11" i="3"/>
  <c r="K264" i="5"/>
  <c r="K344"/>
  <c r="I22" i="3"/>
  <c r="E263" i="5"/>
  <c r="E343"/>
  <c r="C21" i="3"/>
  <c r="Q301" i="5"/>
  <c r="Q378"/>
  <c r="O56" i="3"/>
  <c r="P56"/>
  <c r="M254" i="5"/>
  <c r="M334"/>
  <c r="K12" i="3"/>
  <c r="J281" i="5"/>
  <c r="J358"/>
  <c r="H36" i="3"/>
  <c r="Q282" i="5"/>
  <c r="Q359"/>
  <c r="O37" i="3"/>
  <c r="P37"/>
  <c r="J286" i="5"/>
  <c r="J363"/>
  <c r="H41" i="3"/>
  <c r="K258" i="5"/>
  <c r="K338"/>
  <c r="I16" i="3"/>
  <c r="Q290" i="5"/>
  <c r="Q367"/>
  <c r="O45" i="3"/>
  <c r="P45"/>
  <c r="J266" i="5"/>
  <c r="E301"/>
  <c r="E378"/>
  <c r="C56" i="3"/>
  <c r="E297" i="5"/>
  <c r="E374"/>
  <c r="C52" i="3"/>
  <c r="J293" i="5"/>
  <c r="J370"/>
  <c r="H48" i="3"/>
  <c r="Q292" i="5"/>
  <c r="Q369"/>
  <c r="O47" i="3"/>
  <c r="P47"/>
  <c r="K265" i="5"/>
  <c r="K345"/>
  <c r="I23" i="3"/>
  <c r="M259" i="5"/>
  <c r="M339"/>
  <c r="K17" i="3"/>
  <c r="J256" i="5"/>
  <c r="J336"/>
  <c r="H14" i="3"/>
  <c r="J302" i="5"/>
  <c r="J379"/>
  <c r="H57" i="3"/>
  <c r="Q262" i="5"/>
  <c r="Q342"/>
  <c r="O20" i="3"/>
  <c r="P20"/>
  <c r="H261" i="5"/>
  <c r="H341"/>
  <c r="F19" i="3"/>
  <c r="Q277" i="5"/>
  <c r="Q354"/>
  <c r="O32" i="3"/>
  <c r="P32"/>
  <c r="J277" i="5"/>
  <c r="J354"/>
  <c r="H32" i="3"/>
  <c r="Q286" i="5"/>
  <c r="Q363"/>
  <c r="O41" i="3"/>
  <c r="P41"/>
  <c r="Q260" i="5"/>
  <c r="Q340"/>
  <c r="O18" i="3"/>
  <c r="P18"/>
  <c r="O258" i="5"/>
  <c r="O338"/>
  <c r="M16" i="3"/>
  <c r="J257" i="5"/>
  <c r="J337"/>
  <c r="H15" i="3"/>
  <c r="Q295" i="5"/>
  <c r="Q372"/>
  <c r="O50" i="3"/>
  <c r="P50"/>
  <c r="E292" i="5"/>
  <c r="E369"/>
  <c r="C47" i="3"/>
  <c r="E291" i="5"/>
  <c r="E368"/>
  <c r="C46" i="3"/>
  <c r="G257" i="5"/>
  <c r="G337"/>
  <c r="E15" i="3"/>
  <c r="E266" i="5"/>
  <c r="O263"/>
  <c r="O343"/>
  <c r="M21" i="3"/>
  <c r="J301" i="5"/>
  <c r="J378"/>
  <c r="H56" i="3"/>
  <c r="Q300" i="5"/>
  <c r="Q377"/>
  <c r="O55" i="3"/>
  <c r="P55"/>
  <c r="J297" i="5"/>
  <c r="J374"/>
  <c r="H52" i="3"/>
  <c r="Q296" i="5"/>
  <c r="Q373"/>
  <c r="O51" i="3"/>
  <c r="P51"/>
  <c r="E293" i="5"/>
  <c r="E370"/>
  <c r="C48" i="3"/>
  <c r="Q291" i="5"/>
  <c r="Q368"/>
  <c r="O46" i="3"/>
  <c r="P46"/>
  <c r="Q267" i="5"/>
  <c r="C266"/>
  <c r="C346"/>
  <c r="A24" i="3"/>
  <c r="E303" i="5"/>
  <c r="E380"/>
  <c r="C58" i="3"/>
  <c r="M263" i="5"/>
  <c r="M343"/>
  <c r="K21" i="3"/>
  <c r="O261" i="5"/>
  <c r="O341"/>
  <c r="M19" i="3"/>
  <c r="K261" i="5"/>
  <c r="K341"/>
  <c r="I19" i="3"/>
  <c r="Q298" i="5"/>
  <c r="Q375"/>
  <c r="O53" i="3"/>
  <c r="P53"/>
  <c r="O257" i="5"/>
  <c r="O337"/>
  <c r="M15" i="3"/>
  <c r="E256" i="5"/>
  <c r="E336"/>
  <c r="C14" i="3"/>
  <c r="H254" i="5"/>
  <c r="H334"/>
  <c r="F12" i="3"/>
  <c r="G260" i="5"/>
  <c r="G340"/>
  <c r="E18" i="3"/>
  <c r="J267" i="5"/>
  <c r="O264"/>
  <c r="O344"/>
  <c r="M22" i="3"/>
  <c r="E302" i="5"/>
  <c r="E379"/>
  <c r="C57" i="3"/>
  <c r="Q279" i="5"/>
  <c r="Q356"/>
  <c r="O34" i="3"/>
  <c r="P34"/>
  <c r="H257" i="5"/>
  <c r="H337"/>
  <c r="F15" i="3"/>
  <c r="J255" i="5"/>
  <c r="J335"/>
  <c r="H13" i="3"/>
  <c r="Q293" i="5"/>
  <c r="Q370"/>
  <c r="O48" i="3"/>
  <c r="P48"/>
  <c r="E289" i="5"/>
  <c r="E366"/>
  <c r="C44" i="3"/>
  <c r="E290" i="5"/>
  <c r="E367"/>
  <c r="C45" i="3"/>
  <c r="F279" i="5"/>
  <c r="F356"/>
  <c r="D34" i="3"/>
  <c r="P277" i="5"/>
  <c r="P354"/>
  <c r="N32" i="3"/>
  <c r="O281" i="5"/>
  <c r="O358"/>
  <c r="M36" i="3"/>
  <c r="K285" i="5"/>
  <c r="K362"/>
  <c r="I40" i="3"/>
  <c r="N280" i="5"/>
  <c r="N357"/>
  <c r="L35" i="3"/>
  <c r="N278" i="5"/>
  <c r="N355"/>
  <c r="L33" i="3"/>
  <c r="K288" i="5"/>
  <c r="K365"/>
  <c r="I43" i="3"/>
  <c r="K280" i="5"/>
  <c r="K357"/>
  <c r="I35" i="3"/>
  <c r="I287" i="5"/>
  <c r="I364"/>
  <c r="G42" i="3"/>
  <c r="N286" i="5"/>
  <c r="N363"/>
  <c r="L41" i="3"/>
  <c r="P282" i="5"/>
  <c r="P359"/>
  <c r="N37" i="3"/>
  <c r="G281" i="5"/>
  <c r="G358"/>
  <c r="E36" i="3"/>
  <c r="M281" i="5"/>
  <c r="M358"/>
  <c r="K36" i="3"/>
  <c r="O280" i="5"/>
  <c r="O357"/>
  <c r="M35" i="3"/>
  <c r="M282" i="5"/>
  <c r="M359"/>
  <c r="K37" i="3"/>
  <c r="N276" i="5"/>
  <c r="N353"/>
  <c r="L31" i="3"/>
  <c r="N287" i="5"/>
  <c r="N364"/>
  <c r="L42" i="3"/>
  <c r="F286" i="5"/>
  <c r="F363"/>
  <c r="D41" i="3"/>
  <c r="H285" i="5"/>
  <c r="H362"/>
  <c r="F40" i="3"/>
  <c r="P283" i="5"/>
  <c r="P360"/>
  <c r="N38" i="3"/>
  <c r="K278" i="5"/>
  <c r="K355"/>
  <c r="I33" i="3"/>
  <c r="G283" i="5"/>
  <c r="G360"/>
  <c r="E38" i="3"/>
  <c r="C287" i="5"/>
  <c r="C364"/>
  <c r="A42" i="3"/>
  <c r="C288" i="5"/>
  <c r="C365"/>
  <c r="A43" i="3"/>
  <c r="M288" i="5"/>
  <c r="M365"/>
  <c r="K43" i="3"/>
  <c r="O286" i="5"/>
  <c r="O363"/>
  <c r="M41" i="3"/>
  <c r="K282" i="5"/>
  <c r="K359"/>
  <c r="I37" i="3"/>
  <c r="F274" i="5"/>
  <c r="F351"/>
  <c r="D29" i="3"/>
  <c r="O287" i="5"/>
  <c r="O364"/>
  <c r="M42" i="3"/>
  <c r="K287" i="5"/>
  <c r="K364"/>
  <c r="I42" i="3"/>
  <c r="L278" i="5"/>
  <c r="L355"/>
  <c r="J33" i="3"/>
  <c r="P287" i="5"/>
  <c r="P364"/>
  <c r="N42" i="3"/>
  <c r="I286" i="5"/>
  <c r="I363"/>
  <c r="G41" i="3"/>
  <c r="I284" i="5"/>
  <c r="I361"/>
  <c r="G39" i="3"/>
  <c r="F281" i="5"/>
  <c r="F358"/>
  <c r="D36" i="3"/>
  <c r="N279" i="5"/>
  <c r="N356"/>
  <c r="L34" i="3"/>
  <c r="F278" i="5"/>
  <c r="F355"/>
  <c r="D33" i="3"/>
  <c r="I276" i="5"/>
  <c r="I353"/>
  <c r="G31" i="3"/>
  <c r="K277" i="5"/>
  <c r="K354"/>
  <c r="I32" i="3"/>
  <c r="I282" i="5"/>
  <c r="I359"/>
  <c r="G37" i="3"/>
  <c r="I279" i="5"/>
  <c r="I356"/>
  <c r="G34" i="3"/>
  <c r="L277" i="5"/>
  <c r="L354"/>
  <c r="J32" i="3"/>
  <c r="P276" i="5"/>
  <c r="P353"/>
  <c r="N31" i="3"/>
  <c r="F275" i="5"/>
  <c r="F352"/>
  <c r="D30" i="3"/>
  <c r="K284" i="5"/>
  <c r="K361"/>
  <c r="I39" i="3"/>
  <c r="K276" i="5"/>
  <c r="K353"/>
  <c r="I31" i="3"/>
  <c r="L288" i="5"/>
  <c r="L365"/>
  <c r="J43" i="3"/>
  <c r="L285" i="5"/>
  <c r="L362"/>
  <c r="J40" i="3"/>
  <c r="L284" i="5"/>
  <c r="L361"/>
  <c r="J39" i="3"/>
  <c r="F282" i="5"/>
  <c r="F359"/>
  <c r="D37" i="3"/>
  <c r="P279" i="5"/>
  <c r="P356"/>
  <c r="N34" i="3"/>
  <c r="I278" i="5"/>
  <c r="I355"/>
  <c r="G33" i="3"/>
  <c r="L275" i="5"/>
  <c r="L352"/>
  <c r="J30" i="3"/>
  <c r="F288" i="5"/>
  <c r="F365"/>
  <c r="D43" i="3"/>
  <c r="L287" i="5"/>
  <c r="L364"/>
  <c r="J42" i="3"/>
  <c r="N285" i="5"/>
  <c r="N362"/>
  <c r="L40" i="3"/>
  <c r="P284" i="5"/>
  <c r="P361"/>
  <c r="N39" i="3"/>
  <c r="F283" i="5"/>
  <c r="F360"/>
  <c r="D38" i="3"/>
  <c r="M280" i="5"/>
  <c r="M357"/>
  <c r="K35" i="3"/>
  <c r="F277" i="5"/>
  <c r="F354"/>
  <c r="D32" i="3"/>
  <c r="G284" i="5"/>
  <c r="G361"/>
  <c r="E39" i="3"/>
  <c r="L281" i="5"/>
  <c r="L358"/>
  <c r="J36" i="3"/>
  <c r="L279" i="5"/>
  <c r="L356"/>
  <c r="J34" i="3"/>
  <c r="C280" i="5"/>
  <c r="C357"/>
  <c r="A35" i="3"/>
  <c r="C286" i="5"/>
  <c r="C363"/>
  <c r="A41" i="3"/>
  <c r="C278" i="5"/>
  <c r="C355"/>
  <c r="A33" i="3"/>
  <c r="C275" i="5"/>
  <c r="C352"/>
  <c r="A30" i="3"/>
  <c r="G263" i="5"/>
  <c r="G343"/>
  <c r="E21" i="3"/>
  <c r="M265" i="5"/>
  <c r="M345"/>
  <c r="K23" i="3"/>
  <c r="Q261" i="5"/>
  <c r="Q341"/>
  <c r="O19" i="3"/>
  <c r="P19"/>
  <c r="K255" i="5"/>
  <c r="K335"/>
  <c r="I13" i="3"/>
  <c r="J299" i="5"/>
  <c r="J376"/>
  <c r="H54" i="3"/>
  <c r="Q254" i="5"/>
  <c r="Q334"/>
  <c r="O12" i="3"/>
  <c r="P12"/>
  <c r="Q274" i="5"/>
  <c r="Q351"/>
  <c r="O29" i="3"/>
  <c r="P29"/>
  <c r="J304" i="5"/>
  <c r="J381"/>
  <c r="H59" i="3"/>
  <c r="Q264" i="5"/>
  <c r="Q344"/>
  <c r="O22" i="3"/>
  <c r="P22"/>
  <c r="E300" i="5"/>
  <c r="E377"/>
  <c r="C55" i="3"/>
  <c r="E257" i="5"/>
  <c r="E337"/>
  <c r="C15" i="3"/>
  <c r="Q302" i="5"/>
  <c r="Q379"/>
  <c r="O57" i="3"/>
  <c r="P57"/>
  <c r="J260" i="5"/>
  <c r="J340"/>
  <c r="H18" i="3"/>
  <c r="Q255" i="5"/>
  <c r="Q335"/>
  <c r="O13" i="3"/>
  <c r="P13"/>
  <c r="E267" i="5"/>
  <c r="Q305"/>
  <c r="Q382"/>
  <c r="O60" i="3"/>
  <c r="P60"/>
  <c r="Q297" i="5"/>
  <c r="Q374"/>
  <c r="O52" i="3"/>
  <c r="P52"/>
  <c r="E259" i="5"/>
  <c r="E339"/>
  <c r="C17" i="3"/>
  <c r="M258" i="5"/>
  <c r="M338"/>
  <c r="K16" i="3"/>
  <c r="E255" i="5"/>
  <c r="E335"/>
  <c r="C13" i="3"/>
  <c r="J285" i="5"/>
  <c r="J362"/>
  <c r="H40" i="3"/>
  <c r="Q283" i="5"/>
  <c r="Q360"/>
  <c r="O38" i="3"/>
  <c r="P38"/>
  <c r="E283" i="5"/>
  <c r="E360"/>
  <c r="C38" i="3"/>
  <c r="Q288" i="5"/>
  <c r="Q365"/>
  <c r="O43" i="3"/>
  <c r="P43"/>
  <c r="G258" i="5"/>
  <c r="G338"/>
  <c r="E16" i="3"/>
  <c r="O266" i="5"/>
  <c r="J265"/>
  <c r="J345"/>
  <c r="H23" i="3"/>
  <c r="K262" i="5"/>
  <c r="K342"/>
  <c r="I20" i="3"/>
  <c r="E261" i="5"/>
  <c r="E341"/>
  <c r="C19" i="3"/>
  <c r="H259" i="5"/>
  <c r="H339"/>
  <c r="F17" i="3"/>
  <c r="J296" i="5"/>
  <c r="J373"/>
  <c r="H51" i="3"/>
  <c r="Q256" i="5"/>
  <c r="Q336"/>
  <c r="O14" i="3"/>
  <c r="P14"/>
  <c r="J253" i="5"/>
  <c r="J333"/>
  <c r="H11" i="3"/>
  <c r="J275" i="5"/>
  <c r="J352"/>
  <c r="H30" i="3"/>
  <c r="G267" i="5"/>
  <c r="O267"/>
  <c r="J305"/>
  <c r="J382"/>
  <c r="H60" i="3"/>
  <c r="Q265" i="5"/>
  <c r="K263"/>
  <c r="K343"/>
  <c r="I21" i="3"/>
  <c r="E262" i="5"/>
  <c r="E342"/>
  <c r="C20" i="3"/>
  <c r="M261" i="5"/>
  <c r="M341"/>
  <c r="K19" i="3"/>
  <c r="H260" i="5"/>
  <c r="H340"/>
  <c r="F18" i="3"/>
  <c r="K259" i="5"/>
  <c r="K339"/>
  <c r="I17" i="3"/>
  <c r="E258" i="5"/>
  <c r="E338"/>
  <c r="C16" i="3"/>
  <c r="M257" i="5"/>
  <c r="M337"/>
  <c r="K15" i="3"/>
  <c r="H256" i="5"/>
  <c r="H336"/>
  <c r="F14" i="3"/>
  <c r="O255" i="5"/>
  <c r="O335"/>
  <c r="M13" i="3"/>
  <c r="J254" i="5"/>
  <c r="J334"/>
  <c r="H12" i="3"/>
  <c r="Q253" i="5"/>
  <c r="Q333"/>
  <c r="O11" i="3"/>
  <c r="P11"/>
  <c r="G261" i="5"/>
  <c r="G341"/>
  <c r="E19" i="3"/>
  <c r="G254" i="5"/>
  <c r="G334"/>
  <c r="E12" i="3"/>
  <c r="Q306" i="5"/>
  <c r="Q383"/>
  <c r="O61" i="3"/>
  <c r="P61"/>
  <c r="J264" i="5"/>
  <c r="J344"/>
  <c r="H22" i="3"/>
  <c r="Q263" i="5"/>
  <c r="Q343"/>
  <c r="O21" i="3"/>
  <c r="P21"/>
  <c r="E260" i="5"/>
  <c r="E340"/>
  <c r="C18" i="3"/>
  <c r="H258" i="5"/>
  <c r="H338"/>
  <c r="F16" i="3"/>
  <c r="E295" i="5"/>
  <c r="E372"/>
  <c r="C50" i="3"/>
  <c r="M255" i="5"/>
  <c r="M335"/>
  <c r="K13" i="3"/>
  <c r="O253" i="5"/>
  <c r="O333"/>
  <c r="M11" i="3"/>
  <c r="K253" i="5"/>
  <c r="K333"/>
  <c r="I11" i="3"/>
  <c r="J290" i="5"/>
  <c r="J367"/>
  <c r="H45" i="3"/>
  <c r="G256" i="5"/>
  <c r="G336"/>
  <c r="E14" i="3"/>
  <c r="J306" i="5"/>
  <c r="J383"/>
  <c r="H61" i="3"/>
  <c r="Q266" i="5"/>
  <c r="M266"/>
  <c r="J263"/>
  <c r="J343"/>
  <c r="H21" i="3"/>
  <c r="K260" i="5"/>
  <c r="K340"/>
  <c r="I18" i="3"/>
  <c r="Q258" i="5"/>
  <c r="Q338"/>
  <c r="O16" i="3"/>
  <c r="P16"/>
  <c r="K256" i="5"/>
  <c r="K336"/>
  <c r="I14" i="3"/>
  <c r="J294" i="5"/>
  <c r="J371"/>
  <c r="H49" i="3"/>
  <c r="H253" i="5"/>
  <c r="H333"/>
  <c r="F11" i="3"/>
  <c r="C258" i="5"/>
  <c r="C338"/>
  <c r="A16" i="3"/>
  <c r="J289" i="5"/>
  <c r="J366"/>
  <c r="H44" i="3"/>
  <c r="B78" i="5"/>
  <c r="I330"/>
  <c r="G8" i="3"/>
  <c r="N330" i="5"/>
  <c r="L8" i="3"/>
  <c r="B81" i="5"/>
  <c r="O330"/>
  <c r="M8" i="3"/>
  <c r="G330" i="5"/>
  <c r="E8" i="3"/>
  <c r="M330" i="5"/>
  <c r="K8" i="3"/>
  <c r="D330" i="5"/>
  <c r="B8" i="3"/>
  <c r="J330" i="5"/>
  <c r="H8" i="3"/>
  <c r="B82" i="5"/>
  <c r="K330"/>
  <c r="I8" i="3"/>
  <c r="P330" i="5"/>
  <c r="N8" i="3"/>
  <c r="H330" i="5"/>
  <c r="F8" i="3"/>
  <c r="B79" i="5"/>
  <c r="L330"/>
  <c r="J8" i="3"/>
  <c r="F330" i="5"/>
  <c r="D8" i="3"/>
  <c r="B85" i="5"/>
  <c r="Q330"/>
  <c r="O8" i="3"/>
  <c r="P8"/>
  <c r="B215" i="5"/>
  <c r="B131"/>
  <c r="B182"/>
  <c r="B228"/>
  <c r="B69"/>
  <c r="B65"/>
  <c r="B116"/>
  <c r="B194"/>
  <c r="B166"/>
  <c r="B112"/>
  <c r="B36"/>
  <c r="B227"/>
  <c r="B223"/>
  <c r="B120"/>
  <c r="B224"/>
  <c r="B239"/>
  <c r="B236"/>
  <c r="B233"/>
  <c r="B192"/>
  <c r="B176"/>
  <c r="B55"/>
  <c r="B35"/>
  <c r="B221"/>
  <c r="B107"/>
  <c r="B77"/>
  <c r="B113"/>
  <c r="B217"/>
  <c r="B232"/>
  <c r="J321"/>
  <c r="J398"/>
  <c r="H76" i="3"/>
  <c r="B231" i="5"/>
  <c r="B139"/>
  <c r="B28"/>
  <c r="B169"/>
  <c r="B117"/>
  <c r="B67"/>
  <c r="B172"/>
  <c r="B185"/>
  <c r="B49"/>
  <c r="B222"/>
  <c r="B125"/>
  <c r="B124"/>
  <c r="B123"/>
  <c r="Q309"/>
  <c r="Q386"/>
  <c r="O64" i="3"/>
  <c r="P64"/>
  <c r="G202" i="5"/>
  <c r="G317"/>
  <c r="G394"/>
  <c r="E72" i="3"/>
  <c r="G200" i="5"/>
  <c r="G315"/>
  <c r="G392"/>
  <c r="E70" i="3"/>
  <c r="G196" i="5"/>
  <c r="G311"/>
  <c r="G388"/>
  <c r="E66" i="3"/>
  <c r="G198" i="5"/>
  <c r="G313"/>
  <c r="G390"/>
  <c r="E68" i="3"/>
  <c r="G230" i="5"/>
  <c r="E83"/>
  <c r="A226" i="2"/>
  <c r="C84" i="5"/>
  <c r="C265"/>
  <c r="C345"/>
  <c r="A23" i="3"/>
  <c r="E82" i="5"/>
  <c r="E70"/>
  <c r="E187"/>
  <c r="C230"/>
  <c r="B230"/>
  <c r="C122"/>
  <c r="B122"/>
  <c r="A168" i="2"/>
  <c r="C143" i="5"/>
  <c r="C294"/>
  <c r="C371"/>
  <c r="A49" i="3"/>
  <c r="C26" i="5"/>
  <c r="E81"/>
  <c r="E271"/>
  <c r="E190"/>
  <c r="E73"/>
  <c r="E189"/>
  <c r="E72"/>
  <c r="C219"/>
  <c r="B219"/>
  <c r="C111"/>
  <c r="B111"/>
  <c r="C250"/>
  <c r="B15"/>
  <c r="A228" i="2"/>
  <c r="C86" i="5"/>
  <c r="E80"/>
  <c r="E273"/>
  <c r="H74"/>
  <c r="H191"/>
  <c r="C237"/>
  <c r="B237"/>
  <c r="C129"/>
  <c r="B129"/>
  <c r="E192"/>
  <c r="E75"/>
  <c r="B87"/>
  <c r="B152"/>
  <c r="A218" i="2"/>
  <c r="C193" i="5"/>
  <c r="B193"/>
  <c r="C76"/>
  <c r="C257"/>
  <c r="C337"/>
  <c r="A15" i="3"/>
  <c r="A182" i="2"/>
  <c r="C157" i="5"/>
  <c r="B157"/>
  <c r="C40"/>
  <c r="B40"/>
  <c r="C252"/>
  <c r="B17"/>
  <c r="B145"/>
  <c r="Q84"/>
  <c r="Q271"/>
  <c r="G85"/>
  <c r="H194"/>
  <c r="H77"/>
  <c r="A162" i="2"/>
  <c r="C20" i="5"/>
  <c r="B20"/>
  <c r="A268" i="2"/>
  <c r="C234" i="5"/>
  <c r="B234"/>
  <c r="C126"/>
  <c r="B126"/>
  <c r="A260" i="2"/>
  <c r="C226" i="5"/>
  <c r="B226"/>
  <c r="C118"/>
  <c r="B118"/>
  <c r="H83"/>
  <c r="C210"/>
  <c r="B210"/>
  <c r="C102"/>
  <c r="C175"/>
  <c r="B175"/>
  <c r="C58"/>
  <c r="B58"/>
  <c r="C190"/>
  <c r="B190"/>
  <c r="C73"/>
  <c r="C309"/>
  <c r="A64" i="3"/>
  <c r="B188" i="5"/>
  <c r="C135"/>
  <c r="B135"/>
  <c r="C9"/>
  <c r="B9"/>
  <c r="A151" i="2"/>
  <c r="A214"/>
  <c r="C189" i="5"/>
  <c r="B189"/>
  <c r="C72"/>
  <c r="A150" i="2"/>
  <c r="C134" i="5"/>
  <c r="C291"/>
  <c r="C8"/>
  <c r="M84"/>
  <c r="M271"/>
  <c r="O78"/>
  <c r="O271"/>
  <c r="K191"/>
  <c r="K74"/>
  <c r="K270"/>
  <c r="J81"/>
  <c r="J271"/>
  <c r="G84"/>
  <c r="G194"/>
  <c r="G77"/>
  <c r="E188"/>
  <c r="E71"/>
  <c r="C179"/>
  <c r="B179"/>
  <c r="C62"/>
  <c r="B62"/>
  <c r="A180" i="2"/>
  <c r="C155" i="5"/>
  <c r="C306"/>
  <c r="C383"/>
  <c r="A61" i="3"/>
  <c r="C38" i="5"/>
  <c r="A248" i="2"/>
  <c r="C214" i="5"/>
  <c r="B214"/>
  <c r="C106"/>
  <c r="B106"/>
  <c r="C191"/>
  <c r="B191"/>
  <c r="C74"/>
  <c r="A160" i="2"/>
  <c r="C18" i="5"/>
  <c r="B18"/>
  <c r="A252" i="2"/>
  <c r="C218" i="5"/>
  <c r="B218"/>
  <c r="C110"/>
  <c r="E85"/>
  <c r="E194"/>
  <c r="E77"/>
  <c r="A236" i="2"/>
  <c r="C202" i="5"/>
  <c r="C317"/>
  <c r="C394"/>
  <c r="A72" i="3"/>
  <c r="C94" i="5"/>
  <c r="A269" i="2"/>
  <c r="C235" i="5"/>
  <c r="B235"/>
  <c r="C127"/>
  <c r="B127"/>
  <c r="C203"/>
  <c r="C318"/>
  <c r="C395"/>
  <c r="A73" i="3"/>
  <c r="C95" i="5"/>
  <c r="C180"/>
  <c r="B180"/>
  <c r="C63"/>
  <c r="B63"/>
  <c r="A173" i="2"/>
  <c r="C148" i="5"/>
  <c r="C299"/>
  <c r="C376"/>
  <c r="A54" i="3"/>
  <c r="C31" i="5"/>
  <c r="H82"/>
  <c r="B6"/>
  <c r="C247"/>
  <c r="C178"/>
  <c r="B178"/>
  <c r="C61"/>
  <c r="B61"/>
  <c r="G187"/>
  <c r="G308"/>
  <c r="G385"/>
  <c r="E63" i="3"/>
  <c r="G70" i="5"/>
  <c r="G86"/>
  <c r="G273"/>
  <c r="B144"/>
  <c r="C229"/>
  <c r="B229"/>
  <c r="C121"/>
  <c r="B121"/>
  <c r="C162"/>
  <c r="B162"/>
  <c r="C45"/>
  <c r="B45"/>
  <c r="B154"/>
  <c r="C150"/>
  <c r="C301"/>
  <c r="C378"/>
  <c r="A56" i="3"/>
  <c r="C33" i="5"/>
  <c r="C211"/>
  <c r="B211"/>
  <c r="C103"/>
  <c r="C165"/>
  <c r="B165"/>
  <c r="C48"/>
  <c r="B48"/>
  <c r="A186" i="2"/>
  <c r="C161" i="5"/>
  <c r="B161"/>
  <c r="C44"/>
  <c r="B44"/>
  <c r="C251"/>
  <c r="B16"/>
  <c r="K86"/>
  <c r="K273"/>
  <c r="M80"/>
  <c r="M273"/>
  <c r="O191"/>
  <c r="O74"/>
  <c r="O270"/>
  <c r="K187"/>
  <c r="K308"/>
  <c r="K385"/>
  <c r="I63" i="3"/>
  <c r="K70" i="5"/>
  <c r="K269"/>
  <c r="K81"/>
  <c r="B146"/>
  <c r="J85"/>
  <c r="J272"/>
  <c r="Q80"/>
  <c r="Q273"/>
  <c r="J194"/>
  <c r="J309"/>
  <c r="J386"/>
  <c r="H64" i="3"/>
  <c r="J77" i="5"/>
  <c r="J270"/>
  <c r="J350"/>
  <c r="H28" i="3"/>
  <c r="B137" i="5"/>
  <c r="M92"/>
  <c r="K198"/>
  <c r="K313"/>
  <c r="K390"/>
  <c r="I68" i="3"/>
  <c r="Q200" i="5"/>
  <c r="O106"/>
  <c r="O278"/>
  <c r="O355"/>
  <c r="M33" i="3"/>
  <c r="G110" i="5"/>
  <c r="J91"/>
  <c r="J215"/>
  <c r="E247"/>
  <c r="E330"/>
  <c r="C8" i="3"/>
  <c r="A264" i="2"/>
  <c r="E87" i="5"/>
  <c r="K87"/>
  <c r="J110"/>
  <c r="J282"/>
  <c r="J359"/>
  <c r="H37" i="3"/>
  <c r="G130" i="5"/>
  <c r="H198"/>
  <c r="H313"/>
  <c r="H390"/>
  <c r="F68" i="3"/>
  <c r="Q224" i="5"/>
  <c r="Q324"/>
  <c r="Q401"/>
  <c r="O79" i="3"/>
  <c r="P79"/>
  <c r="Q100" i="5"/>
  <c r="Q319"/>
  <c r="Q396"/>
  <c r="O74" i="3"/>
  <c r="P74"/>
  <c r="O118" i="5"/>
  <c r="O275"/>
  <c r="O352"/>
  <c r="M30" i="3"/>
  <c r="M236" i="5"/>
  <c r="M208"/>
  <c r="M323"/>
  <c r="M400"/>
  <c r="K78" i="3"/>
  <c r="J200" i="5"/>
  <c r="J212"/>
  <c r="J312"/>
  <c r="J389"/>
  <c r="H67" i="3"/>
  <c r="J228" i="5"/>
  <c r="J313"/>
  <c r="J390"/>
  <c r="H68" i="3"/>
  <c r="O199" i="5"/>
  <c r="O314"/>
  <c r="O391"/>
  <c r="M69" i="3"/>
  <c r="M209" i="5"/>
  <c r="M324"/>
  <c r="M401"/>
  <c r="K79" i="3"/>
  <c r="Q119" i="5"/>
  <c r="Q215"/>
  <c r="Q199"/>
  <c r="Q314"/>
  <c r="Q391"/>
  <c r="O69" i="3"/>
  <c r="P69"/>
  <c r="M239" i="5"/>
  <c r="M99"/>
  <c r="J101"/>
  <c r="G227"/>
  <c r="H236"/>
  <c r="B225"/>
  <c r="B213"/>
  <c r="O126"/>
  <c r="O283"/>
  <c r="O360"/>
  <c r="M38" i="3"/>
  <c r="O222" i="5"/>
  <c r="O206"/>
  <c r="O321"/>
  <c r="O398"/>
  <c r="M76" i="3"/>
  <c r="K226" i="5"/>
  <c r="K210"/>
  <c r="J196"/>
  <c r="J311"/>
  <c r="J388"/>
  <c r="H66" i="3"/>
  <c r="J216" i="5"/>
  <c r="J316"/>
  <c r="J393"/>
  <c r="H71" i="3"/>
  <c r="J232" i="5"/>
  <c r="J317"/>
  <c r="J394"/>
  <c r="H72" i="3"/>
  <c r="G204" i="5"/>
  <c r="G319"/>
  <c r="G396"/>
  <c r="E74" i="3"/>
  <c r="G228" i="5"/>
  <c r="G98"/>
  <c r="O227"/>
  <c r="O203"/>
  <c r="O318"/>
  <c r="O395"/>
  <c r="M73" i="3"/>
  <c r="M113" i="5"/>
  <c r="M285"/>
  <c r="M362"/>
  <c r="K40" i="3"/>
  <c r="E230" i="5"/>
  <c r="K235"/>
  <c r="K203"/>
  <c r="K318"/>
  <c r="K395"/>
  <c r="I73" i="3"/>
  <c r="J322" i="5"/>
  <c r="J399"/>
  <c r="H77" i="3"/>
  <c r="J107" i="5"/>
  <c r="J235"/>
  <c r="H88"/>
  <c r="B75"/>
  <c r="B71"/>
  <c r="B59"/>
  <c r="B168"/>
  <c r="B160"/>
  <c r="B156"/>
  <c r="B50"/>
  <c r="B140"/>
  <c r="B181"/>
  <c r="B173"/>
  <c r="B52"/>
  <c r="G186"/>
  <c r="G307"/>
  <c r="G384"/>
  <c r="E62" i="3"/>
  <c r="G69" i="5"/>
  <c r="G268"/>
  <c r="A176" i="2"/>
  <c r="C151" i="5"/>
  <c r="C302"/>
  <c r="C379"/>
  <c r="A57" i="3"/>
  <c r="C34" i="5"/>
  <c r="C238"/>
  <c r="B238"/>
  <c r="C130"/>
  <c r="B130"/>
  <c r="H86"/>
  <c r="C198"/>
  <c r="C313"/>
  <c r="C390"/>
  <c r="A68" i="3"/>
  <c r="C90" i="5"/>
  <c r="C171"/>
  <c r="B171"/>
  <c r="C54"/>
  <c r="B54"/>
  <c r="C164"/>
  <c r="B164"/>
  <c r="C47"/>
  <c r="B47"/>
  <c r="G78"/>
  <c r="B133"/>
  <c r="C307"/>
  <c r="A62" i="3"/>
  <c r="B186" i="5"/>
  <c r="C212"/>
  <c r="B212"/>
  <c r="C104"/>
  <c r="B104"/>
  <c r="D170"/>
  <c r="B170"/>
  <c r="D53"/>
  <c r="B53"/>
  <c r="C149"/>
  <c r="C300"/>
  <c r="C377"/>
  <c r="A55" i="3"/>
  <c r="C32" i="5"/>
  <c r="Q72"/>
  <c r="Q268"/>
  <c r="Q189"/>
  <c r="Q307"/>
  <c r="Q384"/>
  <c r="O62" i="3"/>
  <c r="P62"/>
  <c r="O82" i="5"/>
  <c r="O272"/>
  <c r="K78"/>
  <c r="M72"/>
  <c r="M268"/>
  <c r="M189"/>
  <c r="J190"/>
  <c r="J308"/>
  <c r="J385"/>
  <c r="H63" i="3"/>
  <c r="J73" i="5"/>
  <c r="J269"/>
  <c r="H85"/>
  <c r="A212" i="2"/>
  <c r="C187" i="5"/>
  <c r="C70"/>
  <c r="C183"/>
  <c r="B183"/>
  <c r="C66"/>
  <c r="B66"/>
  <c r="A188" i="2"/>
  <c r="C163" i="5"/>
  <c r="B163"/>
  <c r="C46"/>
  <c r="B46"/>
  <c r="H192"/>
  <c r="H75"/>
  <c r="A152" i="2"/>
  <c r="C136" i="5"/>
  <c r="B136"/>
  <c r="C10"/>
  <c r="B10"/>
  <c r="E193"/>
  <c r="E76"/>
  <c r="G191"/>
  <c r="G74"/>
  <c r="G270"/>
  <c r="G350"/>
  <c r="E28" i="3"/>
  <c r="C248" i="5"/>
  <c r="B7"/>
  <c r="C158"/>
  <c r="B158"/>
  <c r="C41"/>
  <c r="B41"/>
  <c r="C142"/>
  <c r="C293"/>
  <c r="C370"/>
  <c r="A48" i="3"/>
  <c r="C25" i="5"/>
  <c r="A167" i="2"/>
  <c r="J186" i="5"/>
  <c r="J307"/>
  <c r="J384"/>
  <c r="H62" i="3"/>
  <c r="J69" i="5"/>
  <c r="J268"/>
  <c r="J348"/>
  <c r="H26" i="3"/>
  <c r="G190" i="5"/>
  <c r="G73"/>
  <c r="H190"/>
  <c r="H73"/>
  <c r="C206"/>
  <c r="C321"/>
  <c r="C398"/>
  <c r="A76" i="3"/>
  <c r="C98" i="5"/>
  <c r="A172" i="2"/>
  <c r="C147" i="5"/>
  <c r="C298"/>
  <c r="C375"/>
  <c r="A53" i="3"/>
  <c r="C30" i="5"/>
  <c r="H188"/>
  <c r="H309"/>
  <c r="H386"/>
  <c r="F64" i="3"/>
  <c r="H71" i="5"/>
  <c r="H270"/>
  <c r="H350"/>
  <c r="F28" i="3"/>
  <c r="A184" i="2"/>
  <c r="C159" i="5"/>
  <c r="B159"/>
  <c r="C42"/>
  <c r="B42"/>
  <c r="H78"/>
  <c r="H271"/>
  <c r="H348"/>
  <c r="F26" i="3"/>
  <c r="H187" i="5"/>
  <c r="H308"/>
  <c r="H385"/>
  <c r="F63" i="3"/>
  <c r="H70" i="5"/>
  <c r="H269"/>
  <c r="H349"/>
  <c r="F27" i="3"/>
  <c r="E239" i="5"/>
  <c r="E131"/>
  <c r="B132"/>
  <c r="G82"/>
  <c r="E186"/>
  <c r="E69"/>
  <c r="C174"/>
  <c r="B174"/>
  <c r="C57"/>
  <c r="B57"/>
  <c r="C310"/>
  <c r="C387"/>
  <c r="A65" i="3"/>
  <c r="B195" i="5"/>
  <c r="A202" i="2"/>
  <c r="C177" i="5"/>
  <c r="B177"/>
  <c r="C60"/>
  <c r="B60"/>
  <c r="B153"/>
  <c r="A154" i="2"/>
  <c r="C138" i="5"/>
  <c r="B138"/>
  <c r="C12"/>
  <c r="B12"/>
  <c r="O86"/>
  <c r="O273"/>
  <c r="K82"/>
  <c r="K272"/>
  <c r="M76"/>
  <c r="M269"/>
  <c r="M193"/>
  <c r="O187"/>
  <c r="O308"/>
  <c r="O385"/>
  <c r="M63" i="3"/>
  <c r="O70" i="5"/>
  <c r="O269"/>
  <c r="O349"/>
  <c r="M27" i="3"/>
  <c r="A166" i="2"/>
  <c r="C141" i="5"/>
  <c r="C292"/>
  <c r="C369"/>
  <c r="A47" i="3"/>
  <c r="C24" i="5"/>
  <c r="Q193"/>
  <c r="Q308"/>
  <c r="Q385"/>
  <c r="O63" i="3"/>
  <c r="P63"/>
  <c r="Q76" i="5"/>
  <c r="Q269"/>
  <c r="Q349"/>
  <c r="O27" i="3"/>
  <c r="A157" i="2"/>
  <c r="A253"/>
  <c r="A272"/>
  <c r="O107" i="5"/>
  <c r="O279"/>
  <c r="O356"/>
  <c r="M34" i="3"/>
  <c r="J324" i="5"/>
  <c r="J401"/>
  <c r="H79" i="3"/>
  <c r="K103" i="5"/>
  <c r="K275"/>
  <c r="K352"/>
  <c r="I30" i="3"/>
  <c r="B11" i="5"/>
  <c r="B167"/>
  <c r="B13"/>
  <c r="B68"/>
  <c r="E248"/>
  <c r="E331"/>
  <c r="C9" i="3"/>
  <c r="A244" i="2"/>
  <c r="A200"/>
  <c r="A183"/>
  <c r="A174"/>
  <c r="A271"/>
  <c r="Q321" i="5"/>
  <c r="Q398"/>
  <c r="O76" i="3"/>
  <c r="P76"/>
  <c r="B216" i="5"/>
  <c r="Q311"/>
  <c r="Q388"/>
  <c r="O66" i="3"/>
  <c r="P66"/>
  <c r="M100" i="5"/>
  <c r="J92"/>
  <c r="J104"/>
  <c r="Q312"/>
  <c r="Q389"/>
  <c r="O67" i="3"/>
  <c r="P67"/>
  <c r="J89" i="5"/>
  <c r="B119"/>
  <c r="B115"/>
  <c r="B114"/>
  <c r="O98"/>
  <c r="J108"/>
  <c r="J280"/>
  <c r="J357"/>
  <c r="H35" i="3"/>
  <c r="E249" i="5"/>
  <c r="E332"/>
  <c r="C10" i="3"/>
  <c r="B184" i="5"/>
  <c r="B51"/>
  <c r="B43"/>
  <c r="B39"/>
  <c r="B27"/>
  <c r="B14"/>
  <c r="B37"/>
  <c r="B64"/>
  <c r="A203" i="2"/>
  <c r="B56" i="5"/>
  <c r="B29"/>
  <c r="G197"/>
  <c r="G312"/>
  <c r="G389"/>
  <c r="E67" i="3"/>
  <c r="G89" i="5"/>
  <c r="H217"/>
  <c r="H109"/>
  <c r="E207"/>
  <c r="E99"/>
  <c r="E225"/>
  <c r="E310"/>
  <c r="E387"/>
  <c r="C65" i="3"/>
  <c r="E117" i="5"/>
  <c r="E209"/>
  <c r="E101"/>
  <c r="E216"/>
  <c r="E108"/>
  <c r="D319"/>
  <c r="D396"/>
  <c r="B74" i="3"/>
  <c r="B204" i="5"/>
  <c r="B100"/>
  <c r="B92"/>
  <c r="D314"/>
  <c r="D391"/>
  <c r="B69" i="3"/>
  <c r="B199" i="5"/>
  <c r="G213"/>
  <c r="G105"/>
  <c r="G277"/>
  <c r="G354"/>
  <c r="E32" i="3"/>
  <c r="H235" i="5"/>
  <c r="H127"/>
  <c r="H219"/>
  <c r="H111"/>
  <c r="H283"/>
  <c r="H360"/>
  <c r="F38" i="3"/>
  <c r="E197" i="5"/>
  <c r="E89"/>
  <c r="E231"/>
  <c r="E123"/>
  <c r="B96"/>
  <c r="B97"/>
  <c r="D317"/>
  <c r="D394"/>
  <c r="B72" i="3"/>
  <c r="D313" i="5"/>
  <c r="D390"/>
  <c r="B68" i="3"/>
  <c r="D312" i="5"/>
  <c r="D389"/>
  <c r="B67" i="3"/>
  <c r="B197" i="5"/>
  <c r="D324"/>
  <c r="D401"/>
  <c r="B79" i="3"/>
  <c r="B209" i="5"/>
  <c r="B91"/>
  <c r="G208"/>
  <c r="G323"/>
  <c r="G400"/>
  <c r="E78" i="3"/>
  <c r="G100" i="5"/>
  <c r="G209"/>
  <c r="G324"/>
  <c r="G401"/>
  <c r="E79" i="3"/>
  <c r="G101" i="5"/>
  <c r="G237"/>
  <c r="G129"/>
  <c r="G286"/>
  <c r="G363"/>
  <c r="E41" i="3"/>
  <c r="E127" i="5"/>
  <c r="E235"/>
  <c r="H117"/>
  <c r="H225"/>
  <c r="H213"/>
  <c r="H105"/>
  <c r="H205"/>
  <c r="H320"/>
  <c r="H397"/>
  <c r="F75" i="3"/>
  <c r="H97" i="5"/>
  <c r="E237"/>
  <c r="E129"/>
  <c r="E229"/>
  <c r="E121"/>
  <c r="E221"/>
  <c r="E113"/>
  <c r="E105"/>
  <c r="E213"/>
  <c r="E313"/>
  <c r="E390"/>
  <c r="C68" i="3"/>
  <c r="H199" i="5"/>
  <c r="H314"/>
  <c r="H391"/>
  <c r="F69" i="3"/>
  <c r="H91" i="5"/>
  <c r="G233"/>
  <c r="G125"/>
  <c r="D316"/>
  <c r="D393"/>
  <c r="B71" i="3"/>
  <c r="B201" i="5"/>
  <c r="B88"/>
  <c r="D322"/>
  <c r="D399"/>
  <c r="B77" i="3"/>
  <c r="B207" i="5"/>
  <c r="B89"/>
  <c r="B101"/>
  <c r="Q316"/>
  <c r="Q393"/>
  <c r="O71" i="3"/>
  <c r="P71"/>
  <c r="Q310" i="5"/>
  <c r="Q387"/>
  <c r="O65" i="3"/>
  <c r="P65"/>
  <c r="J310" i="5"/>
  <c r="J387"/>
  <c r="H65" i="3"/>
  <c r="Q322" i="5"/>
  <c r="Q399"/>
  <c r="O77" i="3"/>
  <c r="P77"/>
  <c r="J319" i="5"/>
  <c r="J396"/>
  <c r="H74" i="3"/>
  <c r="J314" i="5"/>
  <c r="J391"/>
  <c r="H69" i="3"/>
  <c r="G221" i="5"/>
  <c r="G113"/>
  <c r="H120"/>
  <c r="H228"/>
  <c r="E233"/>
  <c r="E125"/>
  <c r="E282"/>
  <c r="E359"/>
  <c r="C37" i="3"/>
  <c r="E217" i="5"/>
  <c r="E317"/>
  <c r="E394"/>
  <c r="C72" i="3"/>
  <c r="E109" i="5"/>
  <c r="E281"/>
  <c r="E358"/>
  <c r="C36" i="3"/>
  <c r="H203" i="5"/>
  <c r="H318"/>
  <c r="H395"/>
  <c r="F73" i="3"/>
  <c r="H95" i="5"/>
  <c r="D320"/>
  <c r="D397"/>
  <c r="B75" i="3"/>
  <c r="B205" i="5"/>
  <c r="G224"/>
  <c r="G116"/>
  <c r="H233"/>
  <c r="H125"/>
  <c r="E223"/>
  <c r="E323"/>
  <c r="E400"/>
  <c r="C78" i="3"/>
  <c r="E115" i="5"/>
  <c r="E287"/>
  <c r="E364"/>
  <c r="C42" i="3"/>
  <c r="E91" i="5"/>
  <c r="E199"/>
  <c r="H232"/>
  <c r="H124"/>
  <c r="E206"/>
  <c r="E98"/>
  <c r="H227"/>
  <c r="H119"/>
  <c r="H211"/>
  <c r="H103"/>
  <c r="E205"/>
  <c r="E97"/>
  <c r="D311"/>
  <c r="D388"/>
  <c r="B66" i="3"/>
  <c r="B196" i="5"/>
  <c r="D321"/>
  <c r="D398"/>
  <c r="B76" i="3"/>
  <c r="G201" i="5"/>
  <c r="G316"/>
  <c r="G393"/>
  <c r="E71" i="3"/>
  <c r="G93" i="5"/>
  <c r="G229"/>
  <c r="G121"/>
  <c r="G278"/>
  <c r="G355"/>
  <c r="E33" i="3"/>
  <c r="E119" i="5"/>
  <c r="E227"/>
  <c r="E215"/>
  <c r="E107"/>
  <c r="E226"/>
  <c r="E311"/>
  <c r="E388"/>
  <c r="C66" i="3"/>
  <c r="E118" i="5"/>
  <c r="E275"/>
  <c r="E352"/>
  <c r="C30" i="3"/>
  <c r="G239" i="5"/>
  <c r="G131"/>
  <c r="H239"/>
  <c r="H131"/>
  <c r="H231"/>
  <c r="H123"/>
  <c r="H280"/>
  <c r="H357"/>
  <c r="F35" i="3"/>
  <c r="H223" i="5"/>
  <c r="H115"/>
  <c r="H287"/>
  <c r="H364"/>
  <c r="F42" i="3"/>
  <c r="H215" i="5"/>
  <c r="H107"/>
  <c r="H279"/>
  <c r="H356"/>
  <c r="F34" i="3"/>
  <c r="H207" i="5"/>
  <c r="H322"/>
  <c r="H399"/>
  <c r="F77" i="3"/>
  <c r="H99" i="5"/>
  <c r="E201"/>
  <c r="E93"/>
  <c r="B93"/>
  <c r="B99"/>
  <c r="D323"/>
  <c r="D400"/>
  <c r="B78" i="3"/>
  <c r="B208" i="5"/>
  <c r="D315"/>
  <c r="D392"/>
  <c r="B70" i="3"/>
  <c r="B200" i="5"/>
  <c r="D318"/>
  <c r="D395"/>
  <c r="B73" i="3"/>
  <c r="Q313" i="5"/>
  <c r="Q390"/>
  <c r="O68" i="3"/>
  <c r="P68"/>
  <c r="Q317" i="5"/>
  <c r="Q394"/>
  <c r="O72" i="3"/>
  <c r="P72"/>
  <c r="Q323" i="5"/>
  <c r="Q400"/>
  <c r="O78" i="3"/>
  <c r="P78"/>
  <c r="Q318" i="5"/>
  <c r="Q395"/>
  <c r="O73" i="3"/>
  <c r="P73"/>
  <c r="E319" i="5"/>
  <c r="E396"/>
  <c r="C74" i="3"/>
  <c r="H195" i="5"/>
  <c r="H310"/>
  <c r="H387"/>
  <c r="F65" i="3"/>
  <c r="H87" i="5"/>
  <c r="Q350"/>
  <c r="O28" i="3"/>
  <c r="P28"/>
  <c r="E318" i="5"/>
  <c r="E395"/>
  <c r="C73" i="3"/>
  <c r="M349" i="5"/>
  <c r="K27" i="3"/>
  <c r="J349" i="5"/>
  <c r="H27" i="3"/>
  <c r="O350" i="5"/>
  <c r="M28" i="3"/>
  <c r="G272" i="5"/>
  <c r="H288"/>
  <c r="H365"/>
  <c r="F43" i="3"/>
  <c r="M348" i="5"/>
  <c r="K26" i="3"/>
  <c r="Q348" i="5"/>
  <c r="O26" i="3"/>
  <c r="P26"/>
  <c r="H276" i="5"/>
  <c r="H353"/>
  <c r="F31" i="3"/>
  <c r="J320" i="5"/>
  <c r="J397"/>
  <c r="H75" i="3"/>
  <c r="H281" i="5"/>
  <c r="H358"/>
  <c r="F36" i="3"/>
  <c r="E270" i="5"/>
  <c r="E350"/>
  <c r="C28" i="3"/>
  <c r="E272" i="5"/>
  <c r="K350"/>
  <c r="I28" i="3"/>
  <c r="K349" i="5"/>
  <c r="I27" i="3"/>
  <c r="O348" i="5"/>
  <c r="M26" i="3"/>
  <c r="M350" i="5"/>
  <c r="K28" i="3"/>
  <c r="E347" i="5"/>
  <c r="C25" i="3"/>
  <c r="I347" i="5"/>
  <c r="G25" i="3"/>
  <c r="D347" i="5"/>
  <c r="B25" i="3"/>
  <c r="G346" i="5"/>
  <c r="E24" i="3"/>
  <c r="N345" i="5"/>
  <c r="L23" i="3"/>
  <c r="N348" i="5"/>
  <c r="L26" i="3"/>
  <c r="Q346" i="5"/>
  <c r="O24" i="3"/>
  <c r="P24"/>
  <c r="O347" i="5"/>
  <c r="M25" i="3"/>
  <c r="Q347" i="5"/>
  <c r="O25" i="3"/>
  <c r="P25"/>
  <c r="E346" i="5"/>
  <c r="C24" i="3"/>
  <c r="K346" i="5"/>
  <c r="I24" i="3"/>
  <c r="H346" i="5"/>
  <c r="F24" i="3"/>
  <c r="P346" i="5"/>
  <c r="N24" i="3"/>
  <c r="L347" i="5"/>
  <c r="J25" i="3"/>
  <c r="L346" i="5"/>
  <c r="J24" i="3"/>
  <c r="K347" i="5"/>
  <c r="I25" i="3"/>
  <c r="P347" i="5"/>
  <c r="N25" i="3"/>
  <c r="E285" i="5"/>
  <c r="E362"/>
  <c r="C40" i="3"/>
  <c r="G271" i="5"/>
  <c r="G348"/>
  <c r="E26" i="3"/>
  <c r="E269" i="5"/>
  <c r="E349"/>
  <c r="C27" i="3"/>
  <c r="Q345" i="5"/>
  <c r="O23" i="3"/>
  <c r="P23"/>
  <c r="O346" i="5"/>
  <c r="M24" i="3"/>
  <c r="J346" i="5"/>
  <c r="H24" i="3"/>
  <c r="M347" i="5"/>
  <c r="K25" i="3"/>
  <c r="H347" i="5"/>
  <c r="F25" i="3"/>
  <c r="N347" i="5"/>
  <c r="L25" i="3"/>
  <c r="F347" i="5"/>
  <c r="D25" i="3"/>
  <c r="L345" i="5"/>
  <c r="J23" i="3"/>
  <c r="L348" i="5"/>
  <c r="J26" i="3"/>
  <c r="P345" i="5"/>
  <c r="N23" i="3"/>
  <c r="P348" i="5"/>
  <c r="N26" i="3"/>
  <c r="D346" i="5"/>
  <c r="B24" i="3"/>
  <c r="G347" i="5"/>
  <c r="E25" i="3"/>
  <c r="J347" i="5"/>
  <c r="H25" i="3"/>
  <c r="O345" i="5"/>
  <c r="M23" i="3"/>
  <c r="I345" i="5"/>
  <c r="G23" i="3"/>
  <c r="I348" i="5"/>
  <c r="G26" i="3"/>
  <c r="B70" i="5"/>
  <c r="C269"/>
  <c r="M346"/>
  <c r="K24" i="3"/>
  <c r="F346" i="5"/>
  <c r="D24" i="3"/>
  <c r="I346" i="5"/>
  <c r="G24" i="3"/>
  <c r="N346" i="5"/>
  <c r="L24" i="3"/>
  <c r="E280" i="5"/>
  <c r="E357"/>
  <c r="C35" i="3"/>
  <c r="K271" i="5"/>
  <c r="K348"/>
  <c r="I26" i="3"/>
  <c r="G269" i="5"/>
  <c r="G349"/>
  <c r="E27" i="3"/>
  <c r="E268" i="5"/>
  <c r="E348"/>
  <c r="C26" i="3"/>
  <c r="C71" i="17"/>
  <c r="C80"/>
  <c r="E276" i="5"/>
  <c r="E353"/>
  <c r="C31" i="3"/>
  <c r="H277" i="5"/>
  <c r="H354"/>
  <c r="F32" i="3"/>
  <c r="E278" i="5"/>
  <c r="E355"/>
  <c r="C33" i="3"/>
  <c r="G282" i="5"/>
  <c r="G359"/>
  <c r="E37" i="3"/>
  <c r="M287" i="5"/>
  <c r="M364"/>
  <c r="K42" i="3"/>
  <c r="B24" i="5"/>
  <c r="C253"/>
  <c r="C333"/>
  <c r="A11" i="3"/>
  <c r="C277" i="5"/>
  <c r="C354"/>
  <c r="A32" i="3"/>
  <c r="Q287" i="5"/>
  <c r="Q364"/>
  <c r="O42" i="3"/>
  <c r="P42"/>
  <c r="K274" i="5"/>
  <c r="K351"/>
  <c r="I29" i="3"/>
  <c r="C282" i="5"/>
  <c r="C359"/>
  <c r="A37" i="3"/>
  <c r="H282" i="5"/>
  <c r="H359"/>
  <c r="F37" i="3"/>
  <c r="H278" i="5"/>
  <c r="H355"/>
  <c r="F33" i="3"/>
  <c r="G276" i="5"/>
  <c r="G353"/>
  <c r="E31" i="3"/>
  <c r="O285" i="5"/>
  <c r="O362"/>
  <c r="M40" i="3"/>
  <c r="B30" i="5"/>
  <c r="C259"/>
  <c r="C339"/>
  <c r="A17" i="3"/>
  <c r="B25" i="5"/>
  <c r="C254"/>
  <c r="C334"/>
  <c r="A12" i="3"/>
  <c r="B32" i="5"/>
  <c r="C261"/>
  <c r="C341"/>
  <c r="A19" i="3"/>
  <c r="M286" i="5"/>
  <c r="M363"/>
  <c r="K41" i="3"/>
  <c r="E286" i="5"/>
  <c r="E363"/>
  <c r="C41" i="3"/>
  <c r="J315" i="5"/>
  <c r="J392"/>
  <c r="H70" i="3"/>
  <c r="E284" i="5"/>
  <c r="E361"/>
  <c r="C39" i="3"/>
  <c r="E277" i="5"/>
  <c r="E354"/>
  <c r="C32" i="3"/>
  <c r="M279" i="5"/>
  <c r="M356"/>
  <c r="K34" i="3"/>
  <c r="B26" i="5"/>
  <c r="C255"/>
  <c r="C335"/>
  <c r="A13" i="3"/>
  <c r="G288" i="5"/>
  <c r="G365"/>
  <c r="E43" i="3"/>
  <c r="J276" i="5"/>
  <c r="J353"/>
  <c r="H31" i="3"/>
  <c r="J279" i="5"/>
  <c r="J356"/>
  <c r="H34" i="3"/>
  <c r="B33" i="5"/>
  <c r="C262"/>
  <c r="C342"/>
  <c r="A20" i="3"/>
  <c r="B31" i="5"/>
  <c r="C260"/>
  <c r="C340"/>
  <c r="A18" i="3"/>
  <c r="H274" i="5"/>
  <c r="H351"/>
  <c r="F29" i="3"/>
  <c r="H286" i="5"/>
  <c r="H363"/>
  <c r="F41" i="3"/>
  <c r="G280" i="5"/>
  <c r="G357"/>
  <c r="E35" i="3"/>
  <c r="H284" i="5"/>
  <c r="H361"/>
  <c r="F39" i="3"/>
  <c r="G287" i="5"/>
  <c r="G364"/>
  <c r="E42" i="3"/>
  <c r="C285" i="5"/>
  <c r="C362"/>
  <c r="A40" i="3"/>
  <c r="B34" i="5"/>
  <c r="C263"/>
  <c r="C343"/>
  <c r="A21" i="3"/>
  <c r="H275" i="5"/>
  <c r="H352"/>
  <c r="F30" i="3"/>
  <c r="G285" i="5"/>
  <c r="G362"/>
  <c r="E40" i="3"/>
  <c r="J288" i="5"/>
  <c r="J365"/>
  <c r="H43" i="3"/>
  <c r="J278" i="5"/>
  <c r="J355"/>
  <c r="H33" i="3"/>
  <c r="C281" i="5"/>
  <c r="C358"/>
  <c r="A36" i="3"/>
  <c r="B38" i="5"/>
  <c r="C267"/>
  <c r="C347"/>
  <c r="A25" i="3"/>
  <c r="E288" i="5"/>
  <c r="E365"/>
  <c r="C43" i="3"/>
  <c r="E274" i="5"/>
  <c r="E351"/>
  <c r="C29" i="3"/>
  <c r="E279" i="5"/>
  <c r="E356"/>
  <c r="C34" i="3"/>
  <c r="Q276" i="5"/>
  <c r="Q353"/>
  <c r="O31" i="3"/>
  <c r="P31"/>
  <c r="B74" i="5"/>
  <c r="B72"/>
  <c r="B73"/>
  <c r="B86"/>
  <c r="B76"/>
  <c r="B84"/>
  <c r="B198"/>
  <c r="B202"/>
  <c r="E324"/>
  <c r="E401"/>
  <c r="C79" i="3"/>
  <c r="Q315" i="5"/>
  <c r="Q392"/>
  <c r="O70" i="3"/>
  <c r="P70"/>
  <c r="B94" i="5"/>
  <c r="B203"/>
  <c r="B102"/>
  <c r="B206"/>
  <c r="B110"/>
  <c r="B95"/>
  <c r="E315"/>
  <c r="E392"/>
  <c r="C70" i="3"/>
  <c r="B148" i="5"/>
  <c r="C249"/>
  <c r="B8"/>
  <c r="C308"/>
  <c r="A63" i="3"/>
  <c r="B187" i="5"/>
  <c r="B141"/>
  <c r="B147"/>
  <c r="B143"/>
  <c r="B90"/>
  <c r="B98"/>
  <c r="E308"/>
  <c r="E385"/>
  <c r="C63" i="3"/>
  <c r="B155" i="5"/>
  <c r="B151"/>
  <c r="B150"/>
  <c r="B142"/>
  <c r="B149"/>
  <c r="B134"/>
  <c r="E320"/>
  <c r="E397"/>
  <c r="C75" i="3"/>
  <c r="B103" i="5"/>
  <c r="E307"/>
  <c r="E384"/>
  <c r="C62" i="3"/>
  <c r="E321" i="5"/>
  <c r="E398"/>
  <c r="C76" i="3"/>
  <c r="E309" i="5"/>
  <c r="E386"/>
  <c r="C64" i="3"/>
  <c r="E316" i="5"/>
  <c r="E393"/>
  <c r="C71" i="3"/>
  <c r="E312" i="5"/>
  <c r="E389"/>
  <c r="C67" i="3"/>
  <c r="E322" i="5"/>
  <c r="E399"/>
  <c r="C77" i="3"/>
  <c r="E314" i="5"/>
  <c r="E391"/>
  <c r="C69" i="3"/>
  <c r="A11" i="9"/>
  <c r="C151"/>
  <c r="C150"/>
  <c r="C105"/>
  <c r="X104"/>
  <c r="W104"/>
  <c r="V104"/>
  <c r="U104"/>
  <c r="T104"/>
  <c r="S104"/>
  <c r="R104"/>
  <c r="Q104"/>
  <c r="P104"/>
  <c r="O104"/>
  <c r="N104"/>
  <c r="M104"/>
  <c r="L104"/>
  <c r="K104"/>
  <c r="J104"/>
  <c r="I104"/>
  <c r="H104"/>
  <c r="G104"/>
  <c r="F104"/>
  <c r="E104"/>
  <c r="X67"/>
  <c r="W67"/>
  <c r="V67"/>
  <c r="U67"/>
  <c r="T67"/>
  <c r="S67"/>
  <c r="R67"/>
  <c r="Q67"/>
  <c r="P67"/>
  <c r="O67"/>
  <c r="N67"/>
  <c r="M67"/>
  <c r="L67"/>
  <c r="K67"/>
  <c r="J67"/>
  <c r="I67"/>
  <c r="H67"/>
  <c r="G67"/>
  <c r="F67"/>
  <c r="E67"/>
  <c r="X36"/>
  <c r="W36"/>
  <c r="V36"/>
  <c r="U36"/>
  <c r="T36"/>
  <c r="S36"/>
  <c r="R36"/>
  <c r="Q36"/>
  <c r="P36"/>
  <c r="O36"/>
  <c r="N36"/>
  <c r="M36"/>
  <c r="L36"/>
  <c r="K36"/>
  <c r="J36"/>
  <c r="I36"/>
  <c r="H36"/>
  <c r="G36"/>
  <c r="F36"/>
  <c r="E36"/>
  <c r="C35"/>
  <c r="D30"/>
  <c r="D28"/>
  <c r="W28" s="1"/>
  <c r="C21"/>
  <c r="C20"/>
  <c r="A19" s="1"/>
  <c r="X12"/>
  <c r="W12"/>
  <c r="V12"/>
  <c r="U12"/>
  <c r="T12"/>
  <c r="S12"/>
  <c r="R12"/>
  <c r="Q12"/>
  <c r="P12"/>
  <c r="O12"/>
  <c r="N12"/>
  <c r="M12"/>
  <c r="L12"/>
  <c r="K12"/>
  <c r="J12"/>
  <c r="I12"/>
  <c r="H12"/>
  <c r="G12"/>
  <c r="F12"/>
  <c r="E12"/>
  <c r="C9"/>
  <c r="B42"/>
  <c r="H7" i="20" s="1"/>
  <c r="A71" i="17"/>
  <c r="G31" i="20" s="1"/>
  <c r="C74" i="17"/>
  <c r="C82"/>
  <c r="C69"/>
  <c r="C73"/>
  <c r="C77"/>
  <c r="B51" i="9"/>
  <c r="H16" i="20" s="1"/>
  <c r="C79" i="17"/>
  <c r="C81"/>
  <c r="D29" i="9"/>
  <c r="B21"/>
  <c r="B71" i="17"/>
  <c r="H31" i="20" s="1"/>
  <c r="A51" i="9"/>
  <c r="G16" i="20" s="1"/>
  <c r="B50" i="9"/>
  <c r="H15" i="20" s="1"/>
  <c r="A50" i="9"/>
  <c r="G15" i="20" s="1"/>
  <c r="B48" i="9"/>
  <c r="H13" i="20" s="1"/>
  <c r="A48" i="9"/>
  <c r="G13" i="20" s="1"/>
  <c r="A40" i="9"/>
  <c r="G5" i="20" s="1"/>
  <c r="B40" i="9"/>
  <c r="H5" i="20" s="1"/>
  <c r="A45" i="9"/>
  <c r="G10" i="20" s="1"/>
  <c r="B45" i="9"/>
  <c r="H10" i="20" s="1"/>
  <c r="C70" i="17"/>
  <c r="A42" i="9"/>
  <c r="G7" i="20" s="1"/>
  <c r="A69" i="17"/>
  <c r="G29" i="20"/>
  <c r="B69" i="17"/>
  <c r="H29" i="20" s="1"/>
  <c r="B74" i="17"/>
  <c r="H34" i="20" s="1"/>
  <c r="A74" i="17"/>
  <c r="G34" i="20" s="1"/>
  <c r="A81" i="17"/>
  <c r="G41" i="20"/>
  <c r="B81" i="17"/>
  <c r="H41" i="20" s="1"/>
  <c r="B44" i="9"/>
  <c r="H9" i="20"/>
  <c r="A44" i="9"/>
  <c r="G9" i="20" s="1"/>
  <c r="C76" i="17"/>
  <c r="A82"/>
  <c r="G42" i="20" s="1"/>
  <c r="B82" i="17"/>
  <c r="H42" i="20" s="1"/>
  <c r="B80" i="17"/>
  <c r="H40" i="20" s="1"/>
  <c r="B79" i="17"/>
  <c r="H39" i="20" s="1"/>
  <c r="A79" i="17"/>
  <c r="G39" i="20" s="1"/>
  <c r="C75" i="17"/>
  <c r="B77"/>
  <c r="H37" i="20" s="1"/>
  <c r="A77" i="17"/>
  <c r="G37" i="20" s="1"/>
  <c r="B52" i="9"/>
  <c r="H17" i="20"/>
  <c r="A52" i="9"/>
  <c r="G17" i="20" s="1"/>
  <c r="C72" i="17"/>
  <c r="B73"/>
  <c r="H33" i="20" s="1"/>
  <c r="A73" i="17"/>
  <c r="G33" i="20" s="1"/>
  <c r="B53" i="9"/>
  <c r="H18" i="20" s="1"/>
  <c r="A53" i="9"/>
  <c r="G18" i="20" s="1"/>
  <c r="C68" i="17"/>
  <c r="A49" i="9"/>
  <c r="G14" i="20" s="1"/>
  <c r="B49" i="9"/>
  <c r="H14" i="20"/>
  <c r="B78" i="17"/>
  <c r="H38" i="20" s="1"/>
  <c r="A78" i="17"/>
  <c r="G38" i="20" s="1"/>
  <c r="A80" i="17"/>
  <c r="G40" i="20" s="1"/>
  <c r="A47" i="9"/>
  <c r="G12" i="20" s="1"/>
  <c r="B47" i="9"/>
  <c r="H12" i="20" s="1"/>
  <c r="B70" i="17"/>
  <c r="H30" i="20" s="1"/>
  <c r="A70" i="17"/>
  <c r="G30" i="20" s="1"/>
  <c r="B43" i="9"/>
  <c r="H8" i="20" s="1"/>
  <c r="A43" i="9"/>
  <c r="G8" i="20" s="1"/>
  <c r="A41" i="9"/>
  <c r="G6" i="20" s="1"/>
  <c r="B41" i="9"/>
  <c r="H6" i="20" s="1"/>
  <c r="B68" i="17"/>
  <c r="H28" i="20" s="1"/>
  <c r="A68" i="17"/>
  <c r="G28" i="20" s="1"/>
  <c r="B75" i="17"/>
  <c r="H35" i="20" s="1"/>
  <c r="A75" i="17"/>
  <c r="G35" i="20" s="1"/>
  <c r="A72" i="17"/>
  <c r="G32" i="20" s="1"/>
  <c r="B72" i="17"/>
  <c r="H32" i="20" s="1"/>
  <c r="B39" i="9"/>
  <c r="H4" i="20" s="1"/>
  <c r="A39" i="9"/>
  <c r="G4" i="20" s="1"/>
  <c r="A46" i="9"/>
  <c r="G11" i="20" s="1"/>
  <c r="B46" i="9"/>
  <c r="H11" i="20" s="1"/>
  <c r="B76" i="17"/>
  <c r="H36" i="20" s="1"/>
  <c r="A76" i="17"/>
  <c r="G36" i="20" s="1"/>
  <c r="A7" i="2"/>
  <c r="Y101" i="17"/>
  <c r="F98"/>
  <c r="F135" s="1"/>
  <c r="O102"/>
  <c r="K102"/>
  <c r="X101"/>
  <c r="N101"/>
  <c r="I103"/>
  <c r="M99"/>
  <c r="R70" i="9"/>
  <c r="I69"/>
  <c r="S69"/>
  <c r="S106" s="1"/>
  <c r="R71"/>
  <c r="W74"/>
  <c r="P74"/>
  <c r="S72"/>
  <c r="F1" i="1"/>
  <c r="D1"/>
  <c r="E1"/>
  <c r="O1"/>
  <c r="C1"/>
  <c r="G1"/>
  <c r="I75" i="9"/>
  <c r="O104" i="17"/>
  <c r="X104"/>
  <c r="N28" i="9" l="1"/>
  <c r="P28"/>
  <c r="X28"/>
  <c r="E4" i="20"/>
  <c r="G28" i="9"/>
  <c r="R28"/>
  <c r="H28"/>
  <c r="E32" i="20"/>
  <c r="L28" i="9"/>
  <c r="T28"/>
  <c r="A43" i="17"/>
  <c r="C44"/>
  <c r="H49"/>
  <c r="L49"/>
  <c r="P49"/>
  <c r="T49"/>
  <c r="X49"/>
  <c r="A44"/>
  <c r="E49"/>
  <c r="G49"/>
  <c r="K49"/>
  <c r="O49"/>
  <c r="S49"/>
  <c r="W49"/>
  <c r="D49"/>
  <c r="F49"/>
  <c r="J49"/>
  <c r="N49"/>
  <c r="R49"/>
  <c r="V49"/>
  <c r="C37"/>
  <c r="A37"/>
  <c r="D56"/>
  <c r="C38"/>
  <c r="I49"/>
  <c r="M49"/>
  <c r="Q49"/>
  <c r="U49"/>
  <c r="A27" i="9"/>
  <c r="E28"/>
  <c r="I28"/>
  <c r="A22"/>
  <c r="A21"/>
  <c r="F28"/>
  <c r="J28"/>
  <c r="M28"/>
  <c r="O28"/>
  <c r="Q28"/>
  <c r="S28"/>
  <c r="U28"/>
  <c r="C7" i="16"/>
  <c r="E3" i="20"/>
  <c r="E18"/>
  <c r="B8" i="16"/>
  <c r="J104" i="17"/>
  <c r="L75" i="9"/>
  <c r="M72"/>
  <c r="L71"/>
  <c r="Q73"/>
  <c r="J73"/>
  <c r="O73"/>
  <c r="O69"/>
  <c r="O106" s="1"/>
  <c r="J69"/>
  <c r="J106" s="1"/>
  <c r="U103" i="17"/>
  <c r="Q102"/>
  <c r="K99"/>
  <c r="L99"/>
  <c r="J102"/>
  <c r="P103"/>
  <c r="W101"/>
  <c r="F99"/>
  <c r="F136" s="1"/>
  <c r="Y74" i="9"/>
  <c r="E104" i="17"/>
  <c r="P75" i="9"/>
  <c r="O75"/>
  <c r="G74"/>
  <c r="V71"/>
  <c r="I71"/>
  <c r="E72"/>
  <c r="H71"/>
  <c r="M69"/>
  <c r="M106" s="1"/>
  <c r="W69"/>
  <c r="W106" s="1"/>
  <c r="N98" i="17"/>
  <c r="N135" s="1"/>
  <c r="R100"/>
  <c r="L102"/>
  <c r="K101"/>
  <c r="K139" s="1"/>
  <c r="U101"/>
  <c r="F101"/>
  <c r="V101"/>
  <c r="G102"/>
  <c r="Y69" i="9"/>
  <c r="U104" i="17"/>
  <c r="U141" s="1"/>
  <c r="I104"/>
  <c r="I141" s="1"/>
  <c r="T75" i="9"/>
  <c r="K73"/>
  <c r="U74"/>
  <c r="N74"/>
  <c r="T72"/>
  <c r="F73"/>
  <c r="Q69"/>
  <c r="Q106" s="1"/>
  <c r="J70"/>
  <c r="U69"/>
  <c r="U106" s="1"/>
  <c r="F103" i="17"/>
  <c r="T101"/>
  <c r="O101"/>
  <c r="G98"/>
  <c r="G135" s="1"/>
  <c r="O98"/>
  <c r="O135" s="1"/>
  <c r="Q103"/>
  <c r="Q140" s="1"/>
  <c r="T99"/>
  <c r="Y71" i="9"/>
  <c r="W104" i="17"/>
  <c r="Y75" i="9"/>
  <c r="K104" i="17"/>
  <c r="M104"/>
  <c r="X75" i="9"/>
  <c r="N75"/>
  <c r="G72"/>
  <c r="S73"/>
  <c r="S110" s="1"/>
  <c r="V73"/>
  <c r="P71"/>
  <c r="I72"/>
  <c r="W73"/>
  <c r="W111" s="1"/>
  <c r="E73"/>
  <c r="R74"/>
  <c r="H73"/>
  <c r="T69"/>
  <c r="T106" s="1"/>
  <c r="F70"/>
  <c r="O70"/>
  <c r="K69"/>
  <c r="K106" s="1"/>
  <c r="X100" i="17"/>
  <c r="X138" s="1"/>
  <c r="H99"/>
  <c r="L98"/>
  <c r="L135" s="1"/>
  <c r="E99"/>
  <c r="J103"/>
  <c r="Y102"/>
  <c r="Y139" s="1"/>
  <c r="E103"/>
  <c r="E141" s="1"/>
  <c r="E180" s="1"/>
  <c r="W100"/>
  <c r="R99"/>
  <c r="V103"/>
  <c r="J99"/>
  <c r="T103"/>
  <c r="L103"/>
  <c r="F102"/>
  <c r="J101"/>
  <c r="V99"/>
  <c r="X74" i="9"/>
  <c r="X70"/>
  <c r="T104" i="17"/>
  <c r="R104"/>
  <c r="L104"/>
  <c r="L141" s="1"/>
  <c r="G104"/>
  <c r="N104"/>
  <c r="W75" i="9"/>
  <c r="W112" s="1"/>
  <c r="Q75"/>
  <c r="F75"/>
  <c r="V75"/>
  <c r="R75"/>
  <c r="K74"/>
  <c r="G73"/>
  <c r="M74"/>
  <c r="S71"/>
  <c r="U72"/>
  <c r="V72"/>
  <c r="V110" s="1"/>
  <c r="L74"/>
  <c r="P72"/>
  <c r="N73"/>
  <c r="I74"/>
  <c r="I112" s="1"/>
  <c r="Q72"/>
  <c r="W72"/>
  <c r="T71"/>
  <c r="E71"/>
  <c r="E109" s="1"/>
  <c r="J74"/>
  <c r="R73"/>
  <c r="F72"/>
  <c r="H74"/>
  <c r="O71"/>
  <c r="R69"/>
  <c r="R106" s="1"/>
  <c r="V70"/>
  <c r="N70"/>
  <c r="N69"/>
  <c r="N106" s="1"/>
  <c r="E70"/>
  <c r="P70"/>
  <c r="L70"/>
  <c r="G69"/>
  <c r="G106" s="1"/>
  <c r="H69"/>
  <c r="H106" s="1"/>
  <c r="Q70"/>
  <c r="I102" i="17"/>
  <c r="I140" s="1"/>
  <c r="T100"/>
  <c r="T137" s="1"/>
  <c r="R101"/>
  <c r="P101"/>
  <c r="G99"/>
  <c r="P99"/>
  <c r="P100"/>
  <c r="I100"/>
  <c r="Q101"/>
  <c r="V102"/>
  <c r="X99"/>
  <c r="Y99"/>
  <c r="X103"/>
  <c r="X141" s="1"/>
  <c r="T98"/>
  <c r="T135" s="1"/>
  <c r="H101"/>
  <c r="W98"/>
  <c r="W135" s="1"/>
  <c r="E101"/>
  <c r="J98"/>
  <c r="J135" s="1"/>
  <c r="U100"/>
  <c r="X102"/>
  <c r="U98"/>
  <c r="U135" s="1"/>
  <c r="O100"/>
  <c r="Y100"/>
  <c r="Y138" s="1"/>
  <c r="H100"/>
  <c r="K100"/>
  <c r="L100"/>
  <c r="R98"/>
  <c r="R135" s="1"/>
  <c r="P98"/>
  <c r="P135" s="1"/>
  <c r="L101"/>
  <c r="S98"/>
  <c r="S135" s="1"/>
  <c r="I101"/>
  <c r="X69" i="9"/>
  <c r="Y72"/>
  <c r="Y70"/>
  <c r="S104" i="17"/>
  <c r="Q104"/>
  <c r="U75" i="9"/>
  <c r="J75"/>
  <c r="S75"/>
  <c r="K72"/>
  <c r="M71"/>
  <c r="U73"/>
  <c r="L72"/>
  <c r="L109" s="1"/>
  <c r="N72"/>
  <c r="Q74"/>
  <c r="T74"/>
  <c r="J72"/>
  <c r="F74"/>
  <c r="O72"/>
  <c r="P69"/>
  <c r="P106" s="1"/>
  <c r="H70"/>
  <c r="W70"/>
  <c r="F69"/>
  <c r="F106" s="1"/>
  <c r="E69"/>
  <c r="E106" s="1"/>
  <c r="N102" i="17"/>
  <c r="N139" s="1"/>
  <c r="H102"/>
  <c r="Q99"/>
  <c r="G103"/>
  <c r="F100"/>
  <c r="Y103"/>
  <c r="S102"/>
  <c r="P102"/>
  <c r="P140" s="1"/>
  <c r="O99"/>
  <c r="W99"/>
  <c r="W136" s="1"/>
  <c r="X98"/>
  <c r="X135" s="1"/>
  <c r="K98"/>
  <c r="K135" s="1"/>
  <c r="M103"/>
  <c r="W102"/>
  <c r="T102"/>
  <c r="S99"/>
  <c r="X71" i="9"/>
  <c r="V104" i="17"/>
  <c r="Y104"/>
  <c r="H104"/>
  <c r="P104"/>
  <c r="P141" s="1"/>
  <c r="F104"/>
  <c r="G75" i="9"/>
  <c r="M75"/>
  <c r="K75"/>
  <c r="K112" s="1"/>
  <c r="H75"/>
  <c r="E75"/>
  <c r="K71"/>
  <c r="G71"/>
  <c r="M73"/>
  <c r="S74"/>
  <c r="U71"/>
  <c r="V74"/>
  <c r="L73"/>
  <c r="P73"/>
  <c r="P111" s="1"/>
  <c r="N71"/>
  <c r="I73"/>
  <c r="Q71"/>
  <c r="W71"/>
  <c r="T73"/>
  <c r="T110" s="1"/>
  <c r="E74"/>
  <c r="J71"/>
  <c r="R72"/>
  <c r="R109" s="1"/>
  <c r="F71"/>
  <c r="H72"/>
  <c r="O74"/>
  <c r="K70"/>
  <c r="V69"/>
  <c r="V106" s="1"/>
  <c r="G70"/>
  <c r="L69"/>
  <c r="L106" s="1"/>
  <c r="U70"/>
  <c r="M70"/>
  <c r="M107" s="1"/>
  <c r="I70"/>
  <c r="I107" s="1"/>
  <c r="S70"/>
  <c r="S107" s="1"/>
  <c r="T70"/>
  <c r="I98" i="17"/>
  <c r="I135" s="1"/>
  <c r="S100"/>
  <c r="I99"/>
  <c r="G100"/>
  <c r="S103"/>
  <c r="S101"/>
  <c r="S138" s="1"/>
  <c r="G101"/>
  <c r="E102"/>
  <c r="W103"/>
  <c r="V100"/>
  <c r="V138" s="1"/>
  <c r="U99"/>
  <c r="M98"/>
  <c r="M135" s="1"/>
  <c r="Y98"/>
  <c r="Y135" s="1"/>
  <c r="M102"/>
  <c r="N103"/>
  <c r="M100"/>
  <c r="M137" s="1"/>
  <c r="K103"/>
  <c r="K140" s="1"/>
  <c r="J100"/>
  <c r="H103"/>
  <c r="E100"/>
  <c r="M101"/>
  <c r="R102"/>
  <c r="H98"/>
  <c r="H135" s="1"/>
  <c r="N99"/>
  <c r="V98"/>
  <c r="V135" s="1"/>
  <c r="E98"/>
  <c r="E135" s="1"/>
  <c r="E174" s="1"/>
  <c r="F174" s="1"/>
  <c r="Q98"/>
  <c r="Q135" s="1"/>
  <c r="U102"/>
  <c r="R103"/>
  <c r="Q100"/>
  <c r="O103"/>
  <c r="O140" s="1"/>
  <c r="N100"/>
  <c r="N138" s="1"/>
  <c r="Y73" i="9"/>
  <c r="X73"/>
  <c r="X72"/>
  <c r="E42" i="20"/>
  <c r="E29"/>
  <c r="E45"/>
  <c r="E28"/>
  <c r="E44"/>
  <c r="E27"/>
  <c r="E43"/>
  <c r="E38"/>
  <c r="E41"/>
  <c r="E40"/>
  <c r="E39"/>
  <c r="E47"/>
  <c r="E34"/>
  <c r="E50"/>
  <c r="E37"/>
  <c r="E36"/>
  <c r="E35"/>
  <c r="E31"/>
  <c r="E30"/>
  <c r="B7" i="16"/>
  <c r="I106" i="9"/>
  <c r="E48" i="20"/>
  <c r="E33"/>
  <c r="E49"/>
  <c r="E19"/>
  <c r="E20"/>
  <c r="E21"/>
  <c r="E5"/>
  <c r="C8" i="16"/>
  <c r="R108" i="9"/>
  <c r="P112"/>
  <c r="O139" i="17"/>
  <c r="E7" i="20"/>
  <c r="E24"/>
  <c r="E8"/>
  <c r="E25"/>
  <c r="E9"/>
  <c r="E22"/>
  <c r="E6"/>
  <c r="E23"/>
  <c r="E11"/>
  <c r="E12"/>
  <c r="E13"/>
  <c r="E26"/>
  <c r="E10"/>
  <c r="E15"/>
  <c r="E16"/>
  <c r="E17"/>
  <c r="G21" i="17"/>
  <c r="O21"/>
  <c r="H22"/>
  <c r="P22"/>
  <c r="K22"/>
  <c r="F22"/>
  <c r="N22"/>
  <c r="X110" i="9" l="1"/>
  <c r="G174" i="17"/>
  <c r="H174" s="1"/>
  <c r="I174" s="1"/>
  <c r="J174" s="1"/>
  <c r="K174" s="1"/>
  <c r="L174" s="1"/>
  <c r="M174" s="1"/>
  <c r="N174" s="1"/>
  <c r="O174" s="1"/>
  <c r="P174" s="1"/>
  <c r="Q174" s="1"/>
  <c r="R174" s="1"/>
  <c r="S174" s="1"/>
  <c r="T174" s="1"/>
  <c r="U174" s="1"/>
  <c r="V174" s="1"/>
  <c r="W174" s="1"/>
  <c r="X174" s="1"/>
  <c r="L140"/>
  <c r="T111" i="9"/>
  <c r="U112"/>
  <c r="E111"/>
  <c r="V111"/>
  <c r="X108"/>
  <c r="J110"/>
  <c r="O111"/>
  <c r="J108"/>
  <c r="M110"/>
  <c r="V108"/>
  <c r="N111"/>
  <c r="T109"/>
  <c r="L108"/>
  <c r="G107"/>
  <c r="H108"/>
  <c r="K108"/>
  <c r="W109"/>
  <c r="O110"/>
  <c r="M109"/>
  <c r="L139" i="17"/>
  <c r="Q139"/>
  <c r="N108" i="9"/>
  <c r="G110"/>
  <c r="F139" i="17"/>
  <c r="W141"/>
  <c r="U138"/>
  <c r="J22"/>
  <c r="J44" s="1"/>
  <c r="O22"/>
  <c r="G22"/>
  <c r="L22"/>
  <c r="L44" s="1"/>
  <c r="K21"/>
  <c r="K43" s="1"/>
  <c r="J137"/>
  <c r="P21"/>
  <c r="H21"/>
  <c r="M21"/>
  <c r="E21"/>
  <c r="E43" s="1"/>
  <c r="J21"/>
  <c r="J43" s="1"/>
  <c r="J46" s="1"/>
  <c r="Q22"/>
  <c r="Q44" s="1"/>
  <c r="I22"/>
  <c r="Q138"/>
  <c r="L21"/>
  <c r="Q21"/>
  <c r="I21"/>
  <c r="I43" s="1"/>
  <c r="N21"/>
  <c r="F21"/>
  <c r="M22"/>
  <c r="E22"/>
  <c r="E44" s="1"/>
  <c r="Y140"/>
  <c r="P139"/>
  <c r="K137"/>
  <c r="G136"/>
  <c r="L107" i="9"/>
  <c r="T107"/>
  <c r="U107"/>
  <c r="S111"/>
  <c r="R137" i="17"/>
  <c r="J140"/>
  <c r="G108" i="9"/>
  <c r="G139" i="17"/>
  <c r="W107" i="9"/>
  <c r="H112"/>
  <c r="H137" i="17"/>
  <c r="X112" i="9"/>
  <c r="J141" i="17"/>
  <c r="M111" i="9"/>
  <c r="U109"/>
  <c r="G140" i="17"/>
  <c r="T112" i="9"/>
  <c r="U110"/>
  <c r="W110"/>
  <c r="I109"/>
  <c r="G111"/>
  <c r="U140" i="17"/>
  <c r="G112" i="9"/>
  <c r="Q136" i="17"/>
  <c r="Q111" i="9"/>
  <c r="P137" i="17"/>
  <c r="J111" i="9"/>
  <c r="N136" i="17"/>
  <c r="V109" i="9"/>
  <c r="M138" i="17"/>
  <c r="F108" i="9"/>
  <c r="I137" i="17"/>
  <c r="F109" i="9"/>
  <c r="V141" i="17"/>
  <c r="Q141"/>
  <c r="J139"/>
  <c r="E138"/>
  <c r="E177" s="1"/>
  <c r="E139"/>
  <c r="E178" s="1"/>
  <c r="F178" s="1"/>
  <c r="G137"/>
  <c r="T139"/>
  <c r="R138"/>
  <c r="E108" i="9"/>
  <c r="S137" i="17"/>
  <c r="X107" i="9"/>
  <c r="X140" i="17"/>
  <c r="Y136"/>
  <c r="Q107" i="9"/>
  <c r="F140" i="17"/>
  <c r="F111" i="9"/>
  <c r="E110"/>
  <c r="L137" i="17"/>
  <c r="Q110" i="9"/>
  <c r="S140" i="17"/>
  <c r="I138"/>
  <c r="U137"/>
  <c r="H138"/>
  <c r="X136"/>
  <c r="R110" i="9"/>
  <c r="R141" i="17"/>
  <c r="V136"/>
  <c r="K141"/>
  <c r="K111" i="9"/>
  <c r="O112"/>
  <c r="G138" i="17"/>
  <c r="X139"/>
  <c r="M108" i="9"/>
  <c r="S139" i="17"/>
  <c r="P107" i="9"/>
  <c r="V107"/>
  <c r="O107"/>
  <c r="I139" i="17"/>
  <c r="U139"/>
  <c r="F110" i="9"/>
  <c r="U111"/>
  <c r="T140" i="17"/>
  <c r="I110" i="9"/>
  <c r="F137" i="17"/>
  <c r="S112" i="9"/>
  <c r="J107"/>
  <c r="E137" i="17"/>
  <c r="E176" s="1"/>
  <c r="G141"/>
  <c r="T141"/>
  <c r="M136"/>
  <c r="E140"/>
  <c r="E179" s="1"/>
  <c r="K136"/>
  <c r="H107" i="9"/>
  <c r="R139" i="17"/>
  <c r="M139"/>
  <c r="H110" i="9"/>
  <c r="G109"/>
  <c r="M140" i="17"/>
  <c r="O136"/>
  <c r="S141"/>
  <c r="H139"/>
  <c r="M141"/>
  <c r="X106" i="9"/>
  <c r="R107"/>
  <c r="U136" i="17"/>
  <c r="K138"/>
  <c r="R136"/>
  <c r="H141"/>
  <c r="N140"/>
  <c r="I136"/>
  <c r="Q108" i="9"/>
  <c r="F141" i="17"/>
  <c r="F180" s="1"/>
  <c r="W140"/>
  <c r="K110" i="9"/>
  <c r="L138" i="17"/>
  <c r="O137"/>
  <c r="V140"/>
  <c r="P136"/>
  <c r="Y106" i="9"/>
  <c r="O109"/>
  <c r="J112"/>
  <c r="Q109"/>
  <c r="L111"/>
  <c r="M112"/>
  <c r="V112"/>
  <c r="N141" i="17"/>
  <c r="J136"/>
  <c r="R111" i="9"/>
  <c r="P108"/>
  <c r="N112"/>
  <c r="Q137" i="17"/>
  <c r="O138"/>
  <c r="R140"/>
  <c r="I108" i="9"/>
  <c r="X109"/>
  <c r="J109"/>
  <c r="L110"/>
  <c r="P109"/>
  <c r="S108"/>
  <c r="W137" i="17"/>
  <c r="K109" i="9"/>
  <c r="W139" i="17"/>
  <c r="W138"/>
  <c r="V137"/>
  <c r="T138"/>
  <c r="J138"/>
  <c r="H140"/>
  <c r="S109" i="9"/>
  <c r="L112"/>
  <c r="P110"/>
  <c r="E107"/>
  <c r="T136" i="17"/>
  <c r="N109" i="9"/>
  <c r="U108"/>
  <c r="N107"/>
  <c r="H111"/>
  <c r="F112"/>
  <c r="F107"/>
  <c r="O141" i="17"/>
  <c r="E136"/>
  <c r="E175" s="1"/>
  <c r="F175" s="1"/>
  <c r="V139"/>
  <c r="R112" i="9"/>
  <c r="S136" i="17"/>
  <c r="F138"/>
  <c r="L136"/>
  <c r="H136"/>
  <c r="O108" i="9"/>
  <c r="H109"/>
  <c r="I111"/>
  <c r="K107"/>
  <c r="N137" i="17"/>
  <c r="W108" i="9"/>
  <c r="E112"/>
  <c r="Y141" i="17"/>
  <c r="Y137"/>
  <c r="P138"/>
  <c r="T108" i="9"/>
  <c r="N110"/>
  <c r="Q112"/>
  <c r="X111"/>
  <c r="X137" i="17"/>
  <c r="M43"/>
  <c r="O43"/>
  <c r="G43"/>
  <c r="G24"/>
  <c r="G44"/>
  <c r="I44"/>
  <c r="N44"/>
  <c r="F44"/>
  <c r="K44"/>
  <c r="P44"/>
  <c r="H44"/>
  <c r="F176" l="1"/>
  <c r="G176" s="1"/>
  <c r="H176" s="1"/>
  <c r="I176" s="1"/>
  <c r="J176" s="1"/>
  <c r="K176" s="1"/>
  <c r="L176" s="1"/>
  <c r="M176" s="1"/>
  <c r="N176" s="1"/>
  <c r="O176" s="1"/>
  <c r="P176" s="1"/>
  <c r="Q176" s="1"/>
  <c r="R176" s="1"/>
  <c r="S176" s="1"/>
  <c r="T176" s="1"/>
  <c r="U176" s="1"/>
  <c r="V176" s="1"/>
  <c r="W176" s="1"/>
  <c r="X176" s="1"/>
  <c r="M24"/>
  <c r="F179"/>
  <c r="G179" s="1"/>
  <c r="H179" s="1"/>
  <c r="I179" s="1"/>
  <c r="J179" s="1"/>
  <c r="K179" s="1"/>
  <c r="L179" s="1"/>
  <c r="M179" s="1"/>
  <c r="N179" s="1"/>
  <c r="O179" s="1"/>
  <c r="P179" s="1"/>
  <c r="Q179" s="1"/>
  <c r="R179" s="1"/>
  <c r="S179" s="1"/>
  <c r="T179" s="1"/>
  <c r="U179" s="1"/>
  <c r="V179" s="1"/>
  <c r="W179" s="1"/>
  <c r="X179" s="1"/>
  <c r="K24"/>
  <c r="F43"/>
  <c r="F46" s="1"/>
  <c r="L43"/>
  <c r="O24"/>
  <c r="M44"/>
  <c r="H43"/>
  <c r="H46" s="1"/>
  <c r="F24"/>
  <c r="Q43"/>
  <c r="I24"/>
  <c r="H24"/>
  <c r="O44"/>
  <c r="N43"/>
  <c r="N46" s="1"/>
  <c r="P24"/>
  <c r="N24"/>
  <c r="Q24"/>
  <c r="G175"/>
  <c r="H175" s="1"/>
  <c r="I175" s="1"/>
  <c r="J175" s="1"/>
  <c r="K175" s="1"/>
  <c r="L175" s="1"/>
  <c r="M175" s="1"/>
  <c r="N175" s="1"/>
  <c r="O175" s="1"/>
  <c r="P175" s="1"/>
  <c r="Q175" s="1"/>
  <c r="R175" s="1"/>
  <c r="S175" s="1"/>
  <c r="T175" s="1"/>
  <c r="U175" s="1"/>
  <c r="V175" s="1"/>
  <c r="W175" s="1"/>
  <c r="X175" s="1"/>
  <c r="P43"/>
  <c r="J24"/>
  <c r="G178"/>
  <c r="H178" s="1"/>
  <c r="I178" s="1"/>
  <c r="J178" s="1"/>
  <c r="K178" s="1"/>
  <c r="L178" s="1"/>
  <c r="M178" s="1"/>
  <c r="N178" s="1"/>
  <c r="O178" s="1"/>
  <c r="P178" s="1"/>
  <c r="Q178" s="1"/>
  <c r="R178" s="1"/>
  <c r="S178" s="1"/>
  <c r="T178" s="1"/>
  <c r="U178" s="1"/>
  <c r="V178" s="1"/>
  <c r="W178" s="1"/>
  <c r="X178" s="1"/>
  <c r="E24"/>
  <c r="L24"/>
  <c r="F177"/>
  <c r="G177" s="1"/>
  <c r="H177" s="1"/>
  <c r="I177" s="1"/>
  <c r="J177" s="1"/>
  <c r="K177" s="1"/>
  <c r="L177" s="1"/>
  <c r="M177" s="1"/>
  <c r="N177" s="1"/>
  <c r="O177" s="1"/>
  <c r="P177" s="1"/>
  <c r="Q177" s="1"/>
  <c r="R177" s="1"/>
  <c r="S177" s="1"/>
  <c r="T177" s="1"/>
  <c r="U177" s="1"/>
  <c r="V177" s="1"/>
  <c r="W177" s="1"/>
  <c r="X177" s="1"/>
  <c r="Y111" i="9"/>
  <c r="Y108"/>
  <c r="Y109"/>
  <c r="G180" i="17"/>
  <c r="H180" s="1"/>
  <c r="I180" s="1"/>
  <c r="J180" s="1"/>
  <c r="K180" s="1"/>
  <c r="L180" s="1"/>
  <c r="Y107" i="9"/>
  <c r="Y110"/>
  <c r="Y112"/>
  <c r="I46" i="17"/>
  <c r="E46"/>
  <c r="K46"/>
  <c r="G46"/>
  <c r="M46"/>
  <c r="P46" l="1"/>
  <c r="L46"/>
  <c r="O46"/>
  <c r="Q46"/>
  <c r="M180"/>
  <c r="N180" l="1"/>
  <c r="O180" l="1"/>
  <c r="P180" l="1"/>
  <c r="Q180" l="1"/>
  <c r="R180" l="1"/>
  <c r="S180" l="1"/>
  <c r="T180" l="1"/>
  <c r="U180" l="1"/>
  <c r="V180" l="1"/>
  <c r="W180" l="1"/>
  <c r="X180" l="1"/>
  <c r="X14" l="1"/>
  <c r="S14"/>
  <c r="S38" s="1"/>
  <c r="R14"/>
  <c r="R38" s="1"/>
  <c r="L14"/>
  <c r="W14"/>
  <c r="W38" s="1"/>
  <c r="M13"/>
  <c r="R13"/>
  <c r="T14"/>
  <c r="T38" s="1"/>
  <c r="N13"/>
  <c r="I14"/>
  <c r="G13"/>
  <c r="U13"/>
  <c r="H14"/>
  <c r="P13"/>
  <c r="V13"/>
  <c r="Q14"/>
  <c r="V14"/>
  <c r="V38" s="1"/>
  <c r="K14"/>
  <c r="H13"/>
  <c r="J14"/>
  <c r="M14"/>
  <c r="X13"/>
  <c r="U14"/>
  <c r="U38" s="1"/>
  <c r="P14"/>
  <c r="G14"/>
  <c r="Q13"/>
  <c r="S13"/>
  <c r="O14"/>
  <c r="I13"/>
  <c r="F14"/>
  <c r="J13"/>
  <c r="E13"/>
  <c r="E14"/>
  <c r="F13"/>
  <c r="N14"/>
  <c r="K13"/>
  <c r="O13"/>
  <c r="L13"/>
  <c r="T13"/>
  <c r="W13"/>
  <c r="P14" i="9"/>
  <c r="L13"/>
  <c r="R14"/>
  <c r="J14"/>
  <c r="K14"/>
  <c r="K22" s="1"/>
  <c r="K30" s="1"/>
  <c r="G14"/>
  <c r="G22" s="1"/>
  <c r="G30" s="1"/>
  <c r="O13"/>
  <c r="T13"/>
  <c r="N14"/>
  <c r="L14"/>
  <c r="W13"/>
  <c r="J13"/>
  <c r="X13"/>
  <c r="I14"/>
  <c r="K13"/>
  <c r="G13"/>
  <c r="R13"/>
  <c r="X14"/>
  <c r="F14"/>
  <c r="O14"/>
  <c r="E14"/>
  <c r="Q14"/>
  <c r="M13"/>
  <c r="E13"/>
  <c r="M14"/>
  <c r="V13"/>
  <c r="F13"/>
  <c r="W14"/>
  <c r="U13"/>
  <c r="V14"/>
  <c r="H14"/>
  <c r="H13"/>
  <c r="P13"/>
  <c r="T14"/>
  <c r="N13"/>
  <c r="U14"/>
  <c r="S14"/>
  <c r="Q13"/>
  <c r="S13"/>
  <c r="I13"/>
  <c r="O16" i="17" l="1"/>
  <c r="O37"/>
  <c r="O50" s="1"/>
  <c r="O29"/>
  <c r="O32" s="1"/>
  <c r="I16"/>
  <c r="I37"/>
  <c r="I29"/>
  <c r="I32" s="1"/>
  <c r="M38"/>
  <c r="M51" s="1"/>
  <c r="M30"/>
  <c r="N219"/>
  <c r="H38"/>
  <c r="H51" s="1"/>
  <c r="H30"/>
  <c r="I219"/>
  <c r="L16"/>
  <c r="L37"/>
  <c r="L29"/>
  <c r="F16"/>
  <c r="F37"/>
  <c r="F29"/>
  <c r="F32" s="1"/>
  <c r="X16"/>
  <c r="Z37"/>
  <c r="X37"/>
  <c r="K38"/>
  <c r="K51" s="1"/>
  <c r="K30"/>
  <c r="I30"/>
  <c r="I38"/>
  <c r="I51" s="1"/>
  <c r="J219" s="1"/>
  <c r="M16"/>
  <c r="M29"/>
  <c r="M37"/>
  <c r="T16"/>
  <c r="T37"/>
  <c r="T40" s="1"/>
  <c r="N38"/>
  <c r="N51" s="1"/>
  <c r="N30"/>
  <c r="J16"/>
  <c r="J37"/>
  <c r="J29"/>
  <c r="S16"/>
  <c r="S37"/>
  <c r="S40" s="1"/>
  <c r="H16"/>
  <c r="H37"/>
  <c r="H29"/>
  <c r="H32" s="1"/>
  <c r="V16"/>
  <c r="V37"/>
  <c r="V40" s="1"/>
  <c r="G16"/>
  <c r="G29"/>
  <c r="G32" s="1"/>
  <c r="G37"/>
  <c r="R16"/>
  <c r="R37"/>
  <c r="R40" s="1"/>
  <c r="E38"/>
  <c r="E51" s="1"/>
  <c r="E30"/>
  <c r="G38"/>
  <c r="G51" s="1"/>
  <c r="G30"/>
  <c r="N16"/>
  <c r="N37"/>
  <c r="N29"/>
  <c r="N32" s="1"/>
  <c r="Z38"/>
  <c r="X38"/>
  <c r="F30"/>
  <c r="F38"/>
  <c r="F51" s="1"/>
  <c r="G219"/>
  <c r="Q16"/>
  <c r="Q37"/>
  <c r="Q29"/>
  <c r="P16"/>
  <c r="P37"/>
  <c r="P29"/>
  <c r="W16"/>
  <c r="W37"/>
  <c r="W40" s="1"/>
  <c r="K16"/>
  <c r="K37"/>
  <c r="K29"/>
  <c r="K32" s="1"/>
  <c r="O38"/>
  <c r="O30"/>
  <c r="P38"/>
  <c r="P51" s="1"/>
  <c r="P30"/>
  <c r="J38"/>
  <c r="J51" s="1"/>
  <c r="J30"/>
  <c r="Q38"/>
  <c r="Q51" s="1"/>
  <c r="Q30"/>
  <c r="Q32" s="1"/>
  <c r="R219"/>
  <c r="U16"/>
  <c r="U37"/>
  <c r="U40" s="1"/>
  <c r="L38"/>
  <c r="L51" s="1"/>
  <c r="L30"/>
  <c r="L32" s="1"/>
  <c r="E16"/>
  <c r="E37"/>
  <c r="E29"/>
  <c r="E32" s="1"/>
  <c r="S22" i="9"/>
  <c r="S30" s="1"/>
  <c r="P16"/>
  <c r="P21"/>
  <c r="U16"/>
  <c r="U21"/>
  <c r="M22"/>
  <c r="M30" s="1"/>
  <c r="AA14"/>
  <c r="E22"/>
  <c r="R16"/>
  <c r="R21"/>
  <c r="X16"/>
  <c r="X21"/>
  <c r="N22"/>
  <c r="N30" s="1"/>
  <c r="K151"/>
  <c r="X22" i="17" s="1"/>
  <c r="K41" i="9"/>
  <c r="Q6" i="20" s="1"/>
  <c r="K38" i="9"/>
  <c r="K54"/>
  <c r="Q19" i="20" s="1"/>
  <c r="K52" i="9"/>
  <c r="Q17" i="20" s="1"/>
  <c r="K46" i="9"/>
  <c r="Q11" i="20" s="1"/>
  <c r="K56" i="9"/>
  <c r="Q21" i="20" s="1"/>
  <c r="K45" i="9"/>
  <c r="Q10" i="20" s="1"/>
  <c r="K42" i="9"/>
  <c r="Q7" i="20" s="1"/>
  <c r="K58" i="9"/>
  <c r="Q23" i="20" s="1"/>
  <c r="K48" i="9"/>
  <c r="Q13" i="20" s="1"/>
  <c r="K60" i="9"/>
  <c r="Q25" i="20" s="1"/>
  <c r="K50" i="9"/>
  <c r="Q15" i="20" s="1"/>
  <c r="P22" i="9"/>
  <c r="P30" s="1"/>
  <c r="V22"/>
  <c r="V30" s="1"/>
  <c r="X22"/>
  <c r="X30" s="1"/>
  <c r="L22"/>
  <c r="L30" s="1"/>
  <c r="L151" s="1"/>
  <c r="L16"/>
  <c r="L21"/>
  <c r="S16"/>
  <c r="S21"/>
  <c r="N16"/>
  <c r="N21"/>
  <c r="H22"/>
  <c r="H30" s="1"/>
  <c r="H151" s="1"/>
  <c r="U22" i="17" s="1"/>
  <c r="F16" i="9"/>
  <c r="F21"/>
  <c r="M16"/>
  <c r="M21"/>
  <c r="F22"/>
  <c r="F30" s="1"/>
  <c r="F151"/>
  <c r="S22" i="17" s="1"/>
  <c r="K16" i="9"/>
  <c r="K21"/>
  <c r="W16"/>
  <c r="W21"/>
  <c r="O16"/>
  <c r="O21"/>
  <c r="R22"/>
  <c r="R30" s="1"/>
  <c r="R151"/>
  <c r="Q16"/>
  <c r="Q21"/>
  <c r="T22"/>
  <c r="T30" s="1"/>
  <c r="T151"/>
  <c r="V16"/>
  <c r="V21"/>
  <c r="Q22"/>
  <c r="Q30" s="1"/>
  <c r="I22"/>
  <c r="I30" s="1"/>
  <c r="I151" s="1"/>
  <c r="V22" i="17" s="1"/>
  <c r="G151" i="9"/>
  <c r="T22" i="17" s="1"/>
  <c r="G56" i="9"/>
  <c r="M21" i="20" s="1"/>
  <c r="G46" i="9"/>
  <c r="M11" i="20" s="1"/>
  <c r="G54" i="9"/>
  <c r="M19" i="20" s="1"/>
  <c r="G38" i="9"/>
  <c r="G42"/>
  <c r="M7" i="20" s="1"/>
  <c r="G45" i="9"/>
  <c r="M10" i="20" s="1"/>
  <c r="G60" i="9"/>
  <c r="M25" i="20" s="1"/>
  <c r="G58" i="9"/>
  <c r="M23" i="20" s="1"/>
  <c r="G48" i="9"/>
  <c r="M13" i="20" s="1"/>
  <c r="G52" i="9"/>
  <c r="M17" i="20" s="1"/>
  <c r="G50" i="9"/>
  <c r="M15" i="20" s="1"/>
  <c r="G41" i="9"/>
  <c r="M6" i="20" s="1"/>
  <c r="I16" i="9"/>
  <c r="I21"/>
  <c r="U22"/>
  <c r="U30" s="1"/>
  <c r="U151" s="1"/>
  <c r="H16"/>
  <c r="H21"/>
  <c r="W22"/>
  <c r="W30" s="1"/>
  <c r="O22"/>
  <c r="O30" s="1"/>
  <c r="O151" s="1"/>
  <c r="G21"/>
  <c r="G16"/>
  <c r="J21"/>
  <c r="J16"/>
  <c r="T16"/>
  <c r="T21"/>
  <c r="J22"/>
  <c r="J30" s="1"/>
  <c r="J151" s="1"/>
  <c r="W22" i="17" s="1"/>
  <c r="AA13" i="9"/>
  <c r="E16"/>
  <c r="E21"/>
  <c r="N40" i="17" l="1"/>
  <c r="N50"/>
  <c r="N83"/>
  <c r="T43" i="20" s="1"/>
  <c r="N71" i="17"/>
  <c r="T31" i="20" s="1"/>
  <c r="N77" i="17"/>
  <c r="T37" i="20" s="1"/>
  <c r="N85" i="17"/>
  <c r="T45" i="20" s="1"/>
  <c r="N70" i="17"/>
  <c r="T30" i="20" s="1"/>
  <c r="N87" i="17"/>
  <c r="T47" i="20" s="1"/>
  <c r="N79" i="17"/>
  <c r="T39" i="20" s="1"/>
  <c r="N67" i="17"/>
  <c r="N81"/>
  <c r="T41" i="20" s="1"/>
  <c r="N75" i="17"/>
  <c r="T35" i="20" s="1"/>
  <c r="N89" i="17"/>
  <c r="T49" i="20" s="1"/>
  <c r="N74" i="17"/>
  <c r="T34" i="20" s="1"/>
  <c r="M40" i="17"/>
  <c r="M50"/>
  <c r="K89"/>
  <c r="Q49" i="20" s="1"/>
  <c r="K81" i="17"/>
  <c r="Q41" i="20" s="1"/>
  <c r="K74" i="17"/>
  <c r="Q34" i="20" s="1"/>
  <c r="K83" i="17"/>
  <c r="Q43" i="20" s="1"/>
  <c r="K67" i="17"/>
  <c r="K77"/>
  <c r="Q37" i="20" s="1"/>
  <c r="K85" i="17"/>
  <c r="Q45" i="20" s="1"/>
  <c r="K75" i="17"/>
  <c r="Q35" i="20" s="1"/>
  <c r="K87" i="17"/>
  <c r="Q47" i="20" s="1"/>
  <c r="K71" i="17"/>
  <c r="Q31" i="20" s="1"/>
  <c r="K79" i="17"/>
  <c r="Q39" i="20" s="1"/>
  <c r="K70" i="17"/>
  <c r="Q30" i="20" s="1"/>
  <c r="I50" i="17"/>
  <c r="I40"/>
  <c r="P83"/>
  <c r="V43" i="20" s="1"/>
  <c r="P77" i="17"/>
  <c r="V37" i="20" s="1"/>
  <c r="P87" i="17"/>
  <c r="V47" i="20" s="1"/>
  <c r="P70" i="17"/>
  <c r="V30" i="20" s="1"/>
  <c r="P85" i="17"/>
  <c r="V45" i="20" s="1"/>
  <c r="P81" i="17"/>
  <c r="V41" i="20" s="1"/>
  <c r="P67" i="17"/>
  <c r="P74"/>
  <c r="V34" i="20" s="1"/>
  <c r="P89" i="17"/>
  <c r="V49" i="20" s="1"/>
  <c r="P75" i="17"/>
  <c r="V35" i="20" s="1"/>
  <c r="P79" i="17"/>
  <c r="V39" i="20" s="1"/>
  <c r="P71" i="17"/>
  <c r="V31" i="20" s="1"/>
  <c r="Q40" i="17"/>
  <c r="Q50"/>
  <c r="G40"/>
  <c r="G50"/>
  <c r="Q79"/>
  <c r="W39" i="20" s="1"/>
  <c r="Q87" i="17"/>
  <c r="W47" i="20" s="1"/>
  <c r="Q70" i="17"/>
  <c r="W30" i="20" s="1"/>
  <c r="Q71" i="17"/>
  <c r="W31" i="20" s="1"/>
  <c r="Q83" i="17"/>
  <c r="W43" i="20" s="1"/>
  <c r="Q81" i="17"/>
  <c r="W41" i="20" s="1"/>
  <c r="Q77" i="17"/>
  <c r="W37" i="20" s="1"/>
  <c r="Q67" i="17"/>
  <c r="Q85"/>
  <c r="W45" i="20" s="1"/>
  <c r="Q75" i="17"/>
  <c r="W35" i="20" s="1"/>
  <c r="Q74" i="17"/>
  <c r="W34" i="20" s="1"/>
  <c r="Q89" i="17"/>
  <c r="W49" i="20" s="1"/>
  <c r="K40" i="17"/>
  <c r="K50"/>
  <c r="M79"/>
  <c r="S39" i="20" s="1"/>
  <c r="M89" i="17"/>
  <c r="S49" i="20" s="1"/>
  <c r="M71" i="17"/>
  <c r="S31" i="20" s="1"/>
  <c r="M74" i="17"/>
  <c r="S34" i="20" s="1"/>
  <c r="M81" i="17"/>
  <c r="S41" i="20" s="1"/>
  <c r="M70" i="17"/>
  <c r="S30" i="20" s="1"/>
  <c r="M75" i="17"/>
  <c r="S35" i="20" s="1"/>
  <c r="M83" i="17"/>
  <c r="S43" i="20" s="1"/>
  <c r="M85" i="17"/>
  <c r="S45" i="20" s="1"/>
  <c r="M87" i="17"/>
  <c r="S47" i="20" s="1"/>
  <c r="M67" i="17"/>
  <c r="M77"/>
  <c r="S37" i="20" s="1"/>
  <c r="Q219" i="17"/>
  <c r="M32"/>
  <c r="X40"/>
  <c r="L85"/>
  <c r="R45" i="20" s="1"/>
  <c r="L74" i="17"/>
  <c r="R34" i="20" s="1"/>
  <c r="L83" i="17"/>
  <c r="R43" i="20" s="1"/>
  <c r="L81" i="17"/>
  <c r="R41" i="20" s="1"/>
  <c r="L71" i="17"/>
  <c r="R31" i="20" s="1"/>
  <c r="L67" i="17"/>
  <c r="L89"/>
  <c r="R49" i="20" s="1"/>
  <c r="L79" i="17"/>
  <c r="R39" i="20" s="1"/>
  <c r="L77" i="17"/>
  <c r="R37" i="20" s="1"/>
  <c r="L75" i="17"/>
  <c r="R35" i="20" s="1"/>
  <c r="L87" i="17"/>
  <c r="R47" i="20" s="1"/>
  <c r="L70" i="17"/>
  <c r="R30" i="20" s="1"/>
  <c r="J89" i="17"/>
  <c r="P49" i="20" s="1"/>
  <c r="J79" i="17"/>
  <c r="P39" i="20" s="1"/>
  <c r="J71" i="17"/>
  <c r="P31" i="20" s="1"/>
  <c r="J74" i="17"/>
  <c r="P34" i="20" s="1"/>
  <c r="J75" i="17"/>
  <c r="P35" i="20" s="1"/>
  <c r="J70" i="17"/>
  <c r="P30" i="20" s="1"/>
  <c r="J67" i="17"/>
  <c r="J83"/>
  <c r="P43" i="20" s="1"/>
  <c r="J85" i="17"/>
  <c r="P45" i="20" s="1"/>
  <c r="J77" i="17"/>
  <c r="P37" i="20" s="1"/>
  <c r="J87" i="17"/>
  <c r="P47" i="20" s="1"/>
  <c r="J81" i="17"/>
  <c r="P41" i="20" s="1"/>
  <c r="G87" i="17"/>
  <c r="M47" i="20" s="1"/>
  <c r="G79" i="17"/>
  <c r="M39" i="20" s="1"/>
  <c r="G71" i="17"/>
  <c r="M31" i="20" s="1"/>
  <c r="G70" i="17"/>
  <c r="M30" i="20" s="1"/>
  <c r="G89" i="17"/>
  <c r="M49" i="20" s="1"/>
  <c r="G81" i="17"/>
  <c r="M41" i="20" s="1"/>
  <c r="G74" i="17"/>
  <c r="M34" i="20" s="1"/>
  <c r="G83" i="17"/>
  <c r="M43" i="20" s="1"/>
  <c r="G67" i="17"/>
  <c r="G85"/>
  <c r="M45" i="20" s="1"/>
  <c r="G75" i="17"/>
  <c r="M35" i="20" s="1"/>
  <c r="G77" i="17"/>
  <c r="M37" i="20" s="1"/>
  <c r="J40" i="17"/>
  <c r="J50"/>
  <c r="I81"/>
  <c r="O41" i="20" s="1"/>
  <c r="I89" i="17"/>
  <c r="O49" i="20" s="1"/>
  <c r="I70" i="17"/>
  <c r="O30" i="20" s="1"/>
  <c r="I85" i="17"/>
  <c r="O45" i="20" s="1"/>
  <c r="I79" i="17"/>
  <c r="O39" i="20" s="1"/>
  <c r="I77" i="17"/>
  <c r="O37" i="20" s="1"/>
  <c r="I67" i="17"/>
  <c r="I83"/>
  <c r="O43" i="20" s="1"/>
  <c r="I75" i="17"/>
  <c r="O35" i="20" s="1"/>
  <c r="I74" i="17"/>
  <c r="O34" i="20" s="1"/>
  <c r="I87" i="17"/>
  <c r="O47" i="20" s="1"/>
  <c r="I71" i="17"/>
  <c r="O31" i="20" s="1"/>
  <c r="O84" i="17"/>
  <c r="U44" i="20" s="1"/>
  <c r="O72" i="17"/>
  <c r="U32" i="20" s="1"/>
  <c r="O86" i="17"/>
  <c r="U46" i="20" s="1"/>
  <c r="O68" i="17"/>
  <c r="U28" i="20" s="1"/>
  <c r="O88" i="17"/>
  <c r="U48" i="20" s="1"/>
  <c r="O80" i="17"/>
  <c r="U40" i="20" s="1"/>
  <c r="O73" i="17"/>
  <c r="U33" i="20" s="1"/>
  <c r="O82" i="17"/>
  <c r="U42" i="20" s="1"/>
  <c r="O69" i="17"/>
  <c r="U29" i="20" s="1"/>
  <c r="O78" i="17"/>
  <c r="U38" i="20" s="1"/>
  <c r="O90" i="17"/>
  <c r="U50" i="20" s="1"/>
  <c r="O76" i="17"/>
  <c r="U36" i="20" s="1"/>
  <c r="O53" i="17"/>
  <c r="P40"/>
  <c r="P50"/>
  <c r="E87"/>
  <c r="K47" i="20" s="1"/>
  <c r="E70" i="17"/>
  <c r="K30" i="20" s="1"/>
  <c r="E75" i="17"/>
  <c r="K35" i="20" s="1"/>
  <c r="E81" i="17"/>
  <c r="K41" i="20" s="1"/>
  <c r="E77" i="17"/>
  <c r="K37" i="20" s="1"/>
  <c r="E85" i="17"/>
  <c r="K45" i="20" s="1"/>
  <c r="E79" i="17"/>
  <c r="K39" i="20" s="1"/>
  <c r="E71" i="17"/>
  <c r="K31" i="20" s="1"/>
  <c r="E58" i="17"/>
  <c r="F58" s="1"/>
  <c r="G58" s="1"/>
  <c r="H58" s="1"/>
  <c r="I58" s="1"/>
  <c r="J58" s="1"/>
  <c r="K58" s="1"/>
  <c r="L58" s="1"/>
  <c r="M58" s="1"/>
  <c r="N58" s="1"/>
  <c r="O58" s="1"/>
  <c r="P58" s="1"/>
  <c r="Q58" s="1"/>
  <c r="E89"/>
  <c r="K49" i="20" s="1"/>
  <c r="E74" i="17"/>
  <c r="K34" i="20" s="1"/>
  <c r="E83" i="17"/>
  <c r="K43" i="20" s="1"/>
  <c r="E67" i="17"/>
  <c r="K27" i="20" s="1"/>
  <c r="O40" i="17"/>
  <c r="O51"/>
  <c r="F85"/>
  <c r="L45" i="20" s="1"/>
  <c r="F71" i="17"/>
  <c r="L31" i="20" s="1"/>
  <c r="F81" i="17"/>
  <c r="L41" i="20" s="1"/>
  <c r="F83" i="17"/>
  <c r="L43" i="20" s="1"/>
  <c r="F77" i="17"/>
  <c r="L37" i="20" s="1"/>
  <c r="F75" i="17"/>
  <c r="L35" i="20" s="1"/>
  <c r="F70" i="17"/>
  <c r="L30" i="20" s="1"/>
  <c r="F74" i="17"/>
  <c r="L34" i="20" s="1"/>
  <c r="F87" i="17"/>
  <c r="L47" i="20" s="1"/>
  <c r="F89" i="17"/>
  <c r="L49" i="20" s="1"/>
  <c r="F79" i="17"/>
  <c r="L39" i="20" s="1"/>
  <c r="F67" i="17"/>
  <c r="H40"/>
  <c r="H50"/>
  <c r="F40"/>
  <c r="F50"/>
  <c r="L40"/>
  <c r="L50"/>
  <c r="H85"/>
  <c r="N45" i="20" s="1"/>
  <c r="H70" i="17"/>
  <c r="N30" i="20" s="1"/>
  <c r="H87" i="17"/>
  <c r="N47" i="20" s="1"/>
  <c r="H79" i="17"/>
  <c r="N39" i="20" s="1"/>
  <c r="H77" i="17"/>
  <c r="N37" i="20" s="1"/>
  <c r="H67" i="17"/>
  <c r="H89"/>
  <c r="N49" i="20" s="1"/>
  <c r="H81" i="17"/>
  <c r="N41" i="20" s="1"/>
  <c r="H74" i="17"/>
  <c r="N34" i="20" s="1"/>
  <c r="H75" i="17"/>
  <c r="N35" i="20" s="1"/>
  <c r="H83" i="17"/>
  <c r="N43" i="20" s="1"/>
  <c r="H71" i="17"/>
  <c r="N31" i="20" s="1"/>
  <c r="AA16" i="9"/>
  <c r="J32" i="17"/>
  <c r="M219"/>
  <c r="K219"/>
  <c r="P32"/>
  <c r="H219"/>
  <c r="F219"/>
  <c r="O219"/>
  <c r="L219"/>
  <c r="P218"/>
  <c r="E40"/>
  <c r="E50"/>
  <c r="W30"/>
  <c r="W44"/>
  <c r="W51" s="1"/>
  <c r="G24" i="9"/>
  <c r="G29"/>
  <c r="W42"/>
  <c r="AC7" i="20" s="1"/>
  <c r="W58" i="9"/>
  <c r="AC23" i="20" s="1"/>
  <c r="W50" i="9"/>
  <c r="AC15" i="20" s="1"/>
  <c r="W41" i="9"/>
  <c r="AC6" i="20" s="1"/>
  <c r="W38" i="9"/>
  <c r="W56"/>
  <c r="AC21" i="20" s="1"/>
  <c r="W60" i="9"/>
  <c r="AC25" i="20" s="1"/>
  <c r="W52" i="9"/>
  <c r="AC17" i="20" s="1"/>
  <c r="W45" i="9"/>
  <c r="AC10" i="20" s="1"/>
  <c r="W54" i="9"/>
  <c r="AC19" i="20" s="1"/>
  <c r="W48" i="9"/>
  <c r="AC13" i="20" s="1"/>
  <c r="W46" i="9"/>
  <c r="AC11" i="20" s="1"/>
  <c r="M3"/>
  <c r="T44" i="17"/>
  <c r="T51" s="1"/>
  <c r="T30"/>
  <c r="Q60" i="9"/>
  <c r="W25" i="20" s="1"/>
  <c r="Q58" i="9"/>
  <c r="W23" i="20" s="1"/>
  <c r="Q46" i="9"/>
  <c r="W11" i="20" s="1"/>
  <c r="Q50" i="9"/>
  <c r="W15" i="20" s="1"/>
  <c r="Q42" i="9"/>
  <c r="W7" i="20" s="1"/>
  <c r="Q38" i="9"/>
  <c r="Q56"/>
  <c r="W21" i="20" s="1"/>
  <c r="Q54" i="9"/>
  <c r="W19" i="20" s="1"/>
  <c r="Q52" i="9"/>
  <c r="W17" i="20" s="1"/>
  <c r="Q45" i="9"/>
  <c r="W10" i="20" s="1"/>
  <c r="Q48" i="9"/>
  <c r="W13" i="20" s="1"/>
  <c r="Q41" i="9"/>
  <c r="W6" i="20" s="1"/>
  <c r="O29" i="9"/>
  <c r="O24"/>
  <c r="S44" i="17"/>
  <c r="S51" s="1"/>
  <c r="S30"/>
  <c r="U44"/>
  <c r="U51" s="1"/>
  <c r="U30"/>
  <c r="V41" i="9"/>
  <c r="AB6" i="20" s="1"/>
  <c r="V54" i="9"/>
  <c r="AB19" i="20" s="1"/>
  <c r="V38" i="9"/>
  <c r="V58"/>
  <c r="AB23" i="20" s="1"/>
  <c r="V50" i="9"/>
  <c r="AB15" i="20" s="1"/>
  <c r="V42" i="9"/>
  <c r="AB7" i="20" s="1"/>
  <c r="V60" i="9"/>
  <c r="AB25" i="20" s="1"/>
  <c r="V45" i="9"/>
  <c r="AB10" i="20" s="1"/>
  <c r="V48" i="9"/>
  <c r="AB13" i="20" s="1"/>
  <c r="V56" i="9"/>
  <c r="AB21" i="20" s="1"/>
  <c r="V46" i="9"/>
  <c r="AB11" i="20" s="1"/>
  <c r="V52" i="9"/>
  <c r="AB17" i="20" s="1"/>
  <c r="N41" i="9"/>
  <c r="T6" i="20" s="1"/>
  <c r="N58" i="9"/>
  <c r="T23" i="20" s="1"/>
  <c r="N52" i="9"/>
  <c r="T17" i="20" s="1"/>
  <c r="N60" i="9"/>
  <c r="T25" i="20" s="1"/>
  <c r="N45" i="9"/>
  <c r="T10" i="20" s="1"/>
  <c r="N50" i="9"/>
  <c r="T15" i="20" s="1"/>
  <c r="N56" i="9"/>
  <c r="T21" i="20" s="1"/>
  <c r="N42" i="9"/>
  <c r="T7" i="20" s="1"/>
  <c r="N48" i="9"/>
  <c r="T13" i="20" s="1"/>
  <c r="N46" i="9"/>
  <c r="T11" i="20" s="1"/>
  <c r="N54" i="9"/>
  <c r="T19" i="20" s="1"/>
  <c r="N38" i="9"/>
  <c r="M54"/>
  <c r="S19" i="20" s="1"/>
  <c r="M58" i="9"/>
  <c r="S23" i="20" s="1"/>
  <c r="M42" i="9"/>
  <c r="S7" i="20" s="1"/>
  <c r="M50" i="9"/>
  <c r="S15" i="20" s="1"/>
  <c r="M52" i="9"/>
  <c r="S17" i="20" s="1"/>
  <c r="M60" i="9"/>
  <c r="S25" i="20" s="1"/>
  <c r="M45" i="9"/>
  <c r="S10" i="20" s="1"/>
  <c r="M41" i="9"/>
  <c r="S6" i="20" s="1"/>
  <c r="M46" i="9"/>
  <c r="S11" i="20" s="1"/>
  <c r="M56" i="9"/>
  <c r="S21" i="20" s="1"/>
  <c r="M38" i="9"/>
  <c r="M48"/>
  <c r="S13" i="20" s="1"/>
  <c r="S41" i="9"/>
  <c r="Y6" i="20" s="1"/>
  <c r="S60" i="9"/>
  <c r="Y25" i="20" s="1"/>
  <c r="S52" i="9"/>
  <c r="Y17" i="20" s="1"/>
  <c r="S48" i="9"/>
  <c r="Y13" i="20" s="1"/>
  <c r="S54" i="9"/>
  <c r="Y19" i="20" s="1"/>
  <c r="S56" i="9"/>
  <c r="Y21" i="20" s="1"/>
  <c r="S42" i="9"/>
  <c r="Y7" i="20" s="1"/>
  <c r="S38" i="9"/>
  <c r="S45"/>
  <c r="Y10" i="20" s="1"/>
  <c r="S58" i="9"/>
  <c r="Y23" i="20" s="1"/>
  <c r="S46" i="9"/>
  <c r="Y11" i="20" s="1"/>
  <c r="S50" i="9"/>
  <c r="Y15" i="20" s="1"/>
  <c r="Q29" i="9"/>
  <c r="Q24"/>
  <c r="W29"/>
  <c r="W24"/>
  <c r="M29"/>
  <c r="M24"/>
  <c r="N24"/>
  <c r="N29"/>
  <c r="L45"/>
  <c r="R10" i="20" s="1"/>
  <c r="L52" i="9"/>
  <c r="R17" i="20" s="1"/>
  <c r="L54" i="9"/>
  <c r="R19" i="20" s="1"/>
  <c r="L38" i="9"/>
  <c r="L58"/>
  <c r="R23" i="20" s="1"/>
  <c r="L56" i="9"/>
  <c r="R21" i="20" s="1"/>
  <c r="L46" i="9"/>
  <c r="R11" i="20" s="1"/>
  <c r="L41" i="9"/>
  <c r="R6" i="20" s="1"/>
  <c r="L50" i="9"/>
  <c r="R15" i="20" s="1"/>
  <c r="L42" i="9"/>
  <c r="R7" i="20" s="1"/>
  <c r="L48" i="9"/>
  <c r="R13" i="20" s="1"/>
  <c r="L60" i="9"/>
  <c r="R25" i="20" s="1"/>
  <c r="X44" i="17"/>
  <c r="X51" s="1"/>
  <c r="X30"/>
  <c r="X29" i="9"/>
  <c r="X24"/>
  <c r="W151"/>
  <c r="Q151"/>
  <c r="V151"/>
  <c r="M151"/>
  <c r="S151"/>
  <c r="J60"/>
  <c r="P25" i="20" s="1"/>
  <c r="J50" i="9"/>
  <c r="P15" i="20" s="1"/>
  <c r="J42" i="9"/>
  <c r="P7" i="20" s="1"/>
  <c r="J58" i="9"/>
  <c r="P23" i="20" s="1"/>
  <c r="J41" i="9"/>
  <c r="P6" i="20" s="1"/>
  <c r="J48" i="9"/>
  <c r="P13" i="20" s="1"/>
  <c r="J46" i="9"/>
  <c r="P11" i="20" s="1"/>
  <c r="J56" i="9"/>
  <c r="P21" i="20" s="1"/>
  <c r="J54" i="9"/>
  <c r="P19" i="20" s="1"/>
  <c r="J52" i="9"/>
  <c r="P17" i="20" s="1"/>
  <c r="J45" i="9"/>
  <c r="P10" i="20" s="1"/>
  <c r="J38" i="9"/>
  <c r="O42"/>
  <c r="U7" i="20" s="1"/>
  <c r="O56" i="9"/>
  <c r="U21" i="20" s="1"/>
  <c r="O41" i="9"/>
  <c r="U6" i="20" s="1"/>
  <c r="O45" i="9"/>
  <c r="U10" i="20" s="1"/>
  <c r="O58" i="9"/>
  <c r="U23" i="20" s="1"/>
  <c r="O60" i="9"/>
  <c r="U25" i="20" s="1"/>
  <c r="O50" i="9"/>
  <c r="U15" i="20" s="1"/>
  <c r="O46" i="9"/>
  <c r="U11" i="20" s="1"/>
  <c r="O48" i="9"/>
  <c r="U13" i="20" s="1"/>
  <c r="O54" i="9"/>
  <c r="U19" i="20" s="1"/>
  <c r="O52" i="9"/>
  <c r="U17" i="20" s="1"/>
  <c r="O38" i="9"/>
  <c r="H24"/>
  <c r="H29"/>
  <c r="H32" s="1"/>
  <c r="I29"/>
  <c r="I24"/>
  <c r="I56"/>
  <c r="O21" i="20" s="1"/>
  <c r="I42" i="9"/>
  <c r="O7" i="20" s="1"/>
  <c r="I52" i="9"/>
  <c r="O17" i="20" s="1"/>
  <c r="I46" i="9"/>
  <c r="O11" i="20" s="1"/>
  <c r="I38" i="9"/>
  <c r="I54"/>
  <c r="O19" i="20" s="1"/>
  <c r="I48" i="9"/>
  <c r="O13" i="20" s="1"/>
  <c r="I58" i="9"/>
  <c r="O23" i="20" s="1"/>
  <c r="I50" i="9"/>
  <c r="O15" i="20" s="1"/>
  <c r="I45" i="9"/>
  <c r="O10" i="20" s="1"/>
  <c r="I60" i="9"/>
  <c r="O25" i="20" s="1"/>
  <c r="I41" i="9"/>
  <c r="O6" i="20" s="1"/>
  <c r="V29" i="9"/>
  <c r="V24"/>
  <c r="R48"/>
  <c r="X13" i="20" s="1"/>
  <c r="R46" i="9"/>
  <c r="X11" i="20" s="1"/>
  <c r="R41" i="9"/>
  <c r="X6" i="20" s="1"/>
  <c r="R56" i="9"/>
  <c r="X21" i="20" s="1"/>
  <c r="R52" i="9"/>
  <c r="X17" i="20" s="1"/>
  <c r="R38" i="9"/>
  <c r="R50"/>
  <c r="X15" i="20" s="1"/>
  <c r="R60" i="9"/>
  <c r="X25" i="20" s="1"/>
  <c r="R45" i="9"/>
  <c r="X10" i="20" s="1"/>
  <c r="R58" i="9"/>
  <c r="X23" i="20" s="1"/>
  <c r="R54" i="9"/>
  <c r="X19" i="20" s="1"/>
  <c r="R42" i="9"/>
  <c r="X7" i="20" s="1"/>
  <c r="K24" i="9"/>
  <c r="K29"/>
  <c r="F29"/>
  <c r="F24"/>
  <c r="S29"/>
  <c r="S24"/>
  <c r="X41"/>
  <c r="AD6" i="20" s="1"/>
  <c r="X38" i="9"/>
  <c r="X42"/>
  <c r="AD7" i="20" s="1"/>
  <c r="X45" i="9"/>
  <c r="AD10" i="20" s="1"/>
  <c r="X50" i="9"/>
  <c r="AD15" i="20" s="1"/>
  <c r="X48" i="9"/>
  <c r="AD13" i="20" s="1"/>
  <c r="X46" i="9"/>
  <c r="AD11" i="20" s="1"/>
  <c r="X56" i="9"/>
  <c r="AD21" i="20" s="1"/>
  <c r="X52" i="9"/>
  <c r="AD17" i="20" s="1"/>
  <c r="X54" i="9"/>
  <c r="AD19" i="20" s="1"/>
  <c r="X60" i="9"/>
  <c r="AD25" i="20" s="1"/>
  <c r="X58" i="9"/>
  <c r="AD23" i="20" s="1"/>
  <c r="P41" i="9"/>
  <c r="V6" i="20" s="1"/>
  <c r="P58" i="9"/>
  <c r="V23" i="20" s="1"/>
  <c r="P60" i="9"/>
  <c r="V25" i="20" s="1"/>
  <c r="P45" i="9"/>
  <c r="V10" i="20" s="1"/>
  <c r="P48" i="9"/>
  <c r="V13" i="20" s="1"/>
  <c r="P56" i="9"/>
  <c r="V21" i="20" s="1"/>
  <c r="P50" i="9"/>
  <c r="V15" i="20" s="1"/>
  <c r="P46" i="9"/>
  <c r="V11" i="20" s="1"/>
  <c r="P42" i="9"/>
  <c r="V7" i="20" s="1"/>
  <c r="P52" i="9"/>
  <c r="V17" i="20" s="1"/>
  <c r="P54" i="9"/>
  <c r="V19" i="20" s="1"/>
  <c r="P38" i="9"/>
  <c r="R29"/>
  <c r="R24"/>
  <c r="U29"/>
  <c r="U24"/>
  <c r="T24"/>
  <c r="T29"/>
  <c r="J29"/>
  <c r="J24"/>
  <c r="U60"/>
  <c r="AA25" i="20" s="1"/>
  <c r="U52" i="9"/>
  <c r="AA17" i="20" s="1"/>
  <c r="U45" i="9"/>
  <c r="AA10" i="20" s="1"/>
  <c r="U41" i="9"/>
  <c r="AA6" i="20" s="1"/>
  <c r="U46" i="9"/>
  <c r="AA11" i="20" s="1"/>
  <c r="U50" i="9"/>
  <c r="AA15" i="20" s="1"/>
  <c r="U54" i="9"/>
  <c r="AA19" i="20" s="1"/>
  <c r="U38" i="9"/>
  <c r="U48"/>
  <c r="AA13" i="20" s="1"/>
  <c r="U56" i="9"/>
  <c r="AA21" i="20" s="1"/>
  <c r="U58" i="9"/>
  <c r="AA23" i="20" s="1"/>
  <c r="U42" i="9"/>
  <c r="AA7" i="20" s="1"/>
  <c r="V30" i="17"/>
  <c r="V44"/>
  <c r="V51" s="1"/>
  <c r="T48" i="9"/>
  <c r="Z13" i="20" s="1"/>
  <c r="T52" i="9"/>
  <c r="Z17" i="20" s="1"/>
  <c r="T60" i="9"/>
  <c r="Z25" i="20" s="1"/>
  <c r="T45" i="9"/>
  <c r="Z10" i="20" s="1"/>
  <c r="T54" i="9"/>
  <c r="Z19" i="20" s="1"/>
  <c r="T58" i="9"/>
  <c r="Z23" i="20" s="1"/>
  <c r="T42" i="9"/>
  <c r="Z7" i="20" s="1"/>
  <c r="T50" i="9"/>
  <c r="Z15" i="20" s="1"/>
  <c r="T46" i="9"/>
  <c r="Z11" i="20" s="1"/>
  <c r="T38" i="9"/>
  <c r="T41"/>
  <c r="Z6" i="20" s="1"/>
  <c r="T56" i="9"/>
  <c r="Z21" i="20" s="1"/>
  <c r="F58" i="9"/>
  <c r="L23" i="20" s="1"/>
  <c r="F45" i="9"/>
  <c r="L10" i="20" s="1"/>
  <c r="F38" i="9"/>
  <c r="F56"/>
  <c r="L21" i="20" s="1"/>
  <c r="F46" i="9"/>
  <c r="L11" i="20" s="1"/>
  <c r="F48" i="9"/>
  <c r="L13" i="20" s="1"/>
  <c r="F50" i="9"/>
  <c r="L15" i="20" s="1"/>
  <c r="F41" i="9"/>
  <c r="L6" i="20" s="1"/>
  <c r="F60" i="9"/>
  <c r="L25" i="20" s="1"/>
  <c r="F42" i="9"/>
  <c r="L7" i="20" s="1"/>
  <c r="F52" i="9"/>
  <c r="L17" i="20" s="1"/>
  <c r="F54" i="9"/>
  <c r="L19" i="20" s="1"/>
  <c r="H50" i="9"/>
  <c r="N15" i="20" s="1"/>
  <c r="H42" i="9"/>
  <c r="N7" i="20" s="1"/>
  <c r="H58" i="9"/>
  <c r="N23" i="20" s="1"/>
  <c r="H38" i="9"/>
  <c r="H60"/>
  <c r="N25" i="20" s="1"/>
  <c r="H41" i="9"/>
  <c r="N6" i="20" s="1"/>
  <c r="H54" i="9"/>
  <c r="N19" i="20" s="1"/>
  <c r="H52" i="9"/>
  <c r="N17" i="20" s="1"/>
  <c r="H45" i="9"/>
  <c r="N10" i="20" s="1"/>
  <c r="H56" i="9"/>
  <c r="N21" i="20" s="1"/>
  <c r="H46" i="9"/>
  <c r="N11" i="20" s="1"/>
  <c r="H48" i="9"/>
  <c r="N13" i="20" s="1"/>
  <c r="L29" i="9"/>
  <c r="L24"/>
  <c r="Q3" i="20"/>
  <c r="E30" i="9"/>
  <c r="AA22"/>
  <c r="P29"/>
  <c r="P24"/>
  <c r="X151"/>
  <c r="P151"/>
  <c r="N151"/>
  <c r="E29"/>
  <c r="E24"/>
  <c r="AA21"/>
  <c r="L90" i="17" l="1"/>
  <c r="R50" i="20" s="1"/>
  <c r="L86" i="17"/>
  <c r="R46" i="20" s="1"/>
  <c r="L88" i="17"/>
  <c r="R48" i="20" s="1"/>
  <c r="L68" i="17"/>
  <c r="R28" i="20" s="1"/>
  <c r="L84" i="17"/>
  <c r="R44" i="20" s="1"/>
  <c r="L76" i="17"/>
  <c r="R36" i="20" s="1"/>
  <c r="L69" i="17"/>
  <c r="R29" i="20" s="1"/>
  <c r="L73" i="17"/>
  <c r="R33" i="20" s="1"/>
  <c r="L53" i="17"/>
  <c r="L72"/>
  <c r="R32" i="20" s="1"/>
  <c r="L78" i="17"/>
  <c r="R38" i="20" s="1"/>
  <c r="L80" i="17"/>
  <c r="R40" i="20" s="1"/>
  <c r="L82" i="17"/>
  <c r="R42" i="20" s="1"/>
  <c r="M218" i="17"/>
  <c r="M221" s="1"/>
  <c r="H84"/>
  <c r="N44" i="20" s="1"/>
  <c r="H88" i="17"/>
  <c r="N48" i="20" s="1"/>
  <c r="H73" i="17"/>
  <c r="N33" i="20" s="1"/>
  <c r="H68" i="17"/>
  <c r="N28" i="20" s="1"/>
  <c r="H69" i="17"/>
  <c r="N29" i="20" s="1"/>
  <c r="H82" i="17"/>
  <c r="N42" i="20" s="1"/>
  <c r="H53" i="17"/>
  <c r="H72"/>
  <c r="N32" i="20" s="1"/>
  <c r="H90" i="17"/>
  <c r="N50" i="20" s="1"/>
  <c r="H78" i="17"/>
  <c r="N38" i="20" s="1"/>
  <c r="H86" i="17"/>
  <c r="N46" i="20" s="1"/>
  <c r="H80" i="17"/>
  <c r="N40" i="20" s="1"/>
  <c r="H76" i="17"/>
  <c r="N36" i="20" s="1"/>
  <c r="I218" i="17"/>
  <c r="I221" s="1"/>
  <c r="J86"/>
  <c r="P46" i="20" s="1"/>
  <c r="J84" i="17"/>
  <c r="P44" i="20" s="1"/>
  <c r="J90" i="17"/>
  <c r="P50" i="20" s="1"/>
  <c r="J53" i="17"/>
  <c r="J82"/>
  <c r="P42" i="20" s="1"/>
  <c r="J68" i="17"/>
  <c r="P28" i="20" s="1"/>
  <c r="J73" i="17"/>
  <c r="P33" i="20" s="1"/>
  <c r="J78" i="17"/>
  <c r="P38" i="20" s="1"/>
  <c r="J80" i="17"/>
  <c r="P40" i="20" s="1"/>
  <c r="J72" i="17"/>
  <c r="P32" i="20" s="1"/>
  <c r="J69" i="17"/>
  <c r="P29" i="20" s="1"/>
  <c r="J88" i="17"/>
  <c r="P48" i="20" s="1"/>
  <c r="J76" i="17"/>
  <c r="P36" i="20" s="1"/>
  <c r="K218" i="17"/>
  <c r="K221" s="1"/>
  <c r="R27" i="20"/>
  <c r="L113" i="17"/>
  <c r="L150" s="1"/>
  <c r="L122"/>
  <c r="L117"/>
  <c r="L120"/>
  <c r="L128"/>
  <c r="L165" s="1"/>
  <c r="L112"/>
  <c r="L121"/>
  <c r="L118"/>
  <c r="L106"/>
  <c r="L127"/>
  <c r="L125"/>
  <c r="L109"/>
  <c r="L92"/>
  <c r="I88"/>
  <c r="O48" i="20" s="1"/>
  <c r="I86" i="17"/>
  <c r="O46" i="20" s="1"/>
  <c r="I68" i="17"/>
  <c r="O28" i="20" s="1"/>
  <c r="I53" i="17"/>
  <c r="I84"/>
  <c r="O44" i="20" s="1"/>
  <c r="I73" i="17"/>
  <c r="O33" i="20" s="1"/>
  <c r="I90" i="17"/>
  <c r="O50" i="20" s="1"/>
  <c r="I76" i="17"/>
  <c r="O36" i="20" s="1"/>
  <c r="I80" i="17"/>
  <c r="O40" i="20" s="1"/>
  <c r="I72" i="17"/>
  <c r="O32" i="20" s="1"/>
  <c r="I78" i="17"/>
  <c r="O38" i="20" s="1"/>
  <c r="I82" i="17"/>
  <c r="O42" i="20" s="1"/>
  <c r="I69" i="17"/>
  <c r="O29" i="20" s="1"/>
  <c r="J218" i="17"/>
  <c r="J221" s="1"/>
  <c r="Q27" i="20"/>
  <c r="W27"/>
  <c r="Q106" i="17"/>
  <c r="T27" i="20"/>
  <c r="N123" i="17"/>
  <c r="N86"/>
  <c r="T46" i="20" s="1"/>
  <c r="N73" i="17"/>
  <c r="T33" i="20" s="1"/>
  <c r="N53" i="17"/>
  <c r="N84"/>
  <c r="T44" i="20" s="1"/>
  <c r="N82" i="17"/>
  <c r="T42" i="20" s="1"/>
  <c r="N80" i="17"/>
  <c r="T40" i="20" s="1"/>
  <c r="N69" i="17"/>
  <c r="T29" i="20" s="1"/>
  <c r="N90" i="17"/>
  <c r="T50" i="20" s="1"/>
  <c r="N88" i="17"/>
  <c r="T48" i="20" s="1"/>
  <c r="N78" i="17"/>
  <c r="T38" i="20" s="1"/>
  <c r="N76" i="17"/>
  <c r="T36" i="20" s="1"/>
  <c r="N68" i="17"/>
  <c r="T28" i="20" s="1"/>
  <c r="N72" i="17"/>
  <c r="T32" i="20" s="1"/>
  <c r="O218" i="17"/>
  <c r="O221" s="1"/>
  <c r="N27" i="20"/>
  <c r="H110" i="17"/>
  <c r="H106"/>
  <c r="H120"/>
  <c r="H127"/>
  <c r="H107"/>
  <c r="H144" s="1"/>
  <c r="H92"/>
  <c r="H111"/>
  <c r="H148" s="1"/>
  <c r="F84"/>
  <c r="L44" i="20" s="1"/>
  <c r="F80" i="17"/>
  <c r="L40" i="20" s="1"/>
  <c r="F90" i="17"/>
  <c r="L50" i="20" s="1"/>
  <c r="F73" i="17"/>
  <c r="L33" i="20" s="1"/>
  <c r="F88" i="17"/>
  <c r="L48" i="20" s="1"/>
  <c r="F82" i="17"/>
  <c r="L42" i="20" s="1"/>
  <c r="F86" i="17"/>
  <c r="L46" i="20" s="1"/>
  <c r="F72" i="17"/>
  <c r="L32" i="20" s="1"/>
  <c r="F76" i="17"/>
  <c r="L36" i="20" s="1"/>
  <c r="F68" i="17"/>
  <c r="L28" i="20" s="1"/>
  <c r="F53" i="17"/>
  <c r="F69"/>
  <c r="L29" i="20" s="1"/>
  <c r="F78" i="17"/>
  <c r="L38" i="20" s="1"/>
  <c r="G218" i="17"/>
  <c r="G221" s="1"/>
  <c r="L27" i="20"/>
  <c r="F126" i="17"/>
  <c r="F122"/>
  <c r="F119"/>
  <c r="F111"/>
  <c r="F114"/>
  <c r="F108"/>
  <c r="F124"/>
  <c r="O89"/>
  <c r="U49" i="20" s="1"/>
  <c r="O75" i="17"/>
  <c r="U35" i="20" s="1"/>
  <c r="O67" i="17"/>
  <c r="O81"/>
  <c r="U41" i="20" s="1"/>
  <c r="O79" i="17"/>
  <c r="U39" i="20" s="1"/>
  <c r="O77" i="17"/>
  <c r="U37" i="20" s="1"/>
  <c r="O85" i="17"/>
  <c r="U45" i="20" s="1"/>
  <c r="O83" i="17"/>
  <c r="U43" i="20" s="1"/>
  <c r="O70" i="17"/>
  <c r="U30" i="20" s="1"/>
  <c r="O71" i="17"/>
  <c r="U31" i="20" s="1"/>
  <c r="O74" i="17"/>
  <c r="U34" i="20" s="1"/>
  <c r="O87" i="17"/>
  <c r="U47" i="20" s="1"/>
  <c r="P219" i="17"/>
  <c r="P221" s="1"/>
  <c r="S27" i="20"/>
  <c r="V27"/>
  <c r="P27"/>
  <c r="J117" i="17"/>
  <c r="J121"/>
  <c r="J120"/>
  <c r="J126"/>
  <c r="J111"/>
  <c r="J112"/>
  <c r="J149" s="1"/>
  <c r="J116"/>
  <c r="G86"/>
  <c r="M46" i="20" s="1"/>
  <c r="G84" i="17"/>
  <c r="M44" i="20" s="1"/>
  <c r="G53" i="17"/>
  <c r="G90"/>
  <c r="M50" i="20" s="1"/>
  <c r="G76" i="17"/>
  <c r="M36" i="20" s="1"/>
  <c r="G72" i="17"/>
  <c r="M32" i="20" s="1"/>
  <c r="G82" i="17"/>
  <c r="M42" i="20" s="1"/>
  <c r="G69" i="17"/>
  <c r="M29" i="20" s="1"/>
  <c r="G78" i="17"/>
  <c r="M38" i="20" s="1"/>
  <c r="G68" i="17"/>
  <c r="M28" i="20" s="1"/>
  <c r="G73" i="17"/>
  <c r="M33" i="20" s="1"/>
  <c r="G88" i="17"/>
  <c r="M48" i="20" s="1"/>
  <c r="G80" i="17"/>
  <c r="M40" i="20" s="1"/>
  <c r="H218" i="17"/>
  <c r="H221" s="1"/>
  <c r="P86"/>
  <c r="V46" i="20" s="1"/>
  <c r="P68" i="17"/>
  <c r="V28" i="20" s="1"/>
  <c r="P84" i="17"/>
  <c r="V44" i="20" s="1"/>
  <c r="P69" i="17"/>
  <c r="V29" i="20" s="1"/>
  <c r="P88" i="17"/>
  <c r="V48" i="20" s="1"/>
  <c r="P80" i="17"/>
  <c r="V40" i="20" s="1"/>
  <c r="P73" i="17"/>
  <c r="V33" i="20" s="1"/>
  <c r="P76" i="17"/>
  <c r="V36" i="20" s="1"/>
  <c r="P90" i="17"/>
  <c r="V50" i="20" s="1"/>
  <c r="P82" i="17"/>
  <c r="V42" i="20" s="1"/>
  <c r="P78" i="17"/>
  <c r="V38" i="20" s="1"/>
  <c r="P53" i="17"/>
  <c r="P72"/>
  <c r="V32" i="20" s="1"/>
  <c r="Q218" i="17"/>
  <c r="Q221" s="1"/>
  <c r="O27" i="20"/>
  <c r="I125" i="17"/>
  <c r="I127"/>
  <c r="I113"/>
  <c r="I119"/>
  <c r="I105"/>
  <c r="I142" s="1"/>
  <c r="I115"/>
  <c r="G125"/>
  <c r="M27" i="20"/>
  <c r="G119" i="17"/>
  <c r="G117"/>
  <c r="G123"/>
  <c r="G110"/>
  <c r="G127"/>
  <c r="G106"/>
  <c r="K88"/>
  <c r="Q48" i="20" s="1"/>
  <c r="K80" i="17"/>
  <c r="Q40" i="20" s="1"/>
  <c r="K68" i="17"/>
  <c r="Q28" i="20" s="1"/>
  <c r="K53" i="17"/>
  <c r="K90"/>
  <c r="Q50" i="20" s="1"/>
  <c r="K82" i="17"/>
  <c r="Q42" i="20" s="1"/>
  <c r="K78" i="17"/>
  <c r="Q38" i="20" s="1"/>
  <c r="K73" i="17"/>
  <c r="Q33" i="20" s="1"/>
  <c r="K84" i="17"/>
  <c r="Q44" i="20" s="1"/>
  <c r="K69" i="17"/>
  <c r="Q29" i="20" s="1"/>
  <c r="K76" i="17"/>
  <c r="Q36" i="20" s="1"/>
  <c r="K86" i="17"/>
  <c r="Q46" i="20" s="1"/>
  <c r="K72" i="17"/>
  <c r="Q32" i="20" s="1"/>
  <c r="L218" i="17"/>
  <c r="L221" s="1"/>
  <c r="Q88"/>
  <c r="W48" i="20" s="1"/>
  <c r="Q68" i="17"/>
  <c r="W28" i="20" s="1"/>
  <c r="Q69" i="17"/>
  <c r="W29" i="20" s="1"/>
  <c r="Q76" i="17"/>
  <c r="W36" i="20" s="1"/>
  <c r="Q82" i="17"/>
  <c r="W42" i="20" s="1"/>
  <c r="Q72" i="17"/>
  <c r="W32" i="20" s="1"/>
  <c r="Q53" i="17"/>
  <c r="Q90"/>
  <c r="W50" i="20" s="1"/>
  <c r="Q78" i="17"/>
  <c r="W38" i="20" s="1"/>
  <c r="Q86" i="17"/>
  <c r="W46" i="20" s="1"/>
  <c r="Q84" i="17"/>
  <c r="W44" i="20" s="1"/>
  <c r="Q80" i="17"/>
  <c r="W40" i="20" s="1"/>
  <c r="Q73" i="17"/>
  <c r="W33" i="20" s="1"/>
  <c r="R218" i="17"/>
  <c r="R221" s="1"/>
  <c r="M82"/>
  <c r="S42" i="20" s="1"/>
  <c r="M69" i="17"/>
  <c r="S29" i="20" s="1"/>
  <c r="M88" i="17"/>
  <c r="S48" i="20" s="1"/>
  <c r="M73" i="17"/>
  <c r="S33" i="20" s="1"/>
  <c r="M78" i="17"/>
  <c r="S38" i="20" s="1"/>
  <c r="M84" i="17"/>
  <c r="S44" i="20" s="1"/>
  <c r="M86" i="17"/>
  <c r="S46" i="20" s="1"/>
  <c r="M68" i="17"/>
  <c r="S28" i="20" s="1"/>
  <c r="M90" i="17"/>
  <c r="S50" i="20" s="1"/>
  <c r="M76" i="17"/>
  <c r="S36" i="20" s="1"/>
  <c r="M72" i="17"/>
  <c r="S32" i="20" s="1"/>
  <c r="M53" i="17"/>
  <c r="M80"/>
  <c r="S40" i="20" s="1"/>
  <c r="N218" i="17"/>
  <c r="N221" s="1"/>
  <c r="Z40"/>
  <c r="E84"/>
  <c r="K44" i="20" s="1"/>
  <c r="E80" i="17"/>
  <c r="K40" i="20" s="1"/>
  <c r="E90" i="17"/>
  <c r="K50" i="20" s="1"/>
  <c r="E69" i="17"/>
  <c r="K29" i="20" s="1"/>
  <c r="E82" i="17"/>
  <c r="K42" i="20" s="1"/>
  <c r="E86" i="17"/>
  <c r="K46" i="20" s="1"/>
  <c r="E73" i="17"/>
  <c r="K33" i="20" s="1"/>
  <c r="E88" i="17"/>
  <c r="K48" i="20" s="1"/>
  <c r="E72" i="17"/>
  <c r="K32" i="20" s="1"/>
  <c r="E68" i="17"/>
  <c r="E57"/>
  <c r="E78"/>
  <c r="K38" i="20" s="1"/>
  <c r="E76" i="17"/>
  <c r="K36" i="20" s="1"/>
  <c r="E53" i="17"/>
  <c r="F218"/>
  <c r="F221" s="1"/>
  <c r="L3" i="20"/>
  <c r="R59" i="9"/>
  <c r="X24" i="20" s="1"/>
  <c r="R51" i="9"/>
  <c r="X16" i="20" s="1"/>
  <c r="R39" i="9"/>
  <c r="X4" i="20" s="1"/>
  <c r="R40" i="9"/>
  <c r="X5" i="20" s="1"/>
  <c r="R43" i="9"/>
  <c r="X8" i="20" s="1"/>
  <c r="R57" i="9"/>
  <c r="X22" i="20" s="1"/>
  <c r="R61" i="9"/>
  <c r="X26" i="20" s="1"/>
  <c r="R53" i="9"/>
  <c r="X18" i="20" s="1"/>
  <c r="R49" i="9"/>
  <c r="X14" i="20" s="1"/>
  <c r="R47" i="9"/>
  <c r="X12" i="20" s="1"/>
  <c r="R55" i="9"/>
  <c r="X20" i="20" s="1"/>
  <c r="R32" i="9"/>
  <c r="R44"/>
  <c r="X9" i="20" s="1"/>
  <c r="R150" i="9"/>
  <c r="R153" s="1"/>
  <c r="F61"/>
  <c r="L26" i="20" s="1"/>
  <c r="F53" i="9"/>
  <c r="L18" i="20" s="1"/>
  <c r="F49" i="9"/>
  <c r="L14" i="20" s="1"/>
  <c r="F40" i="9"/>
  <c r="L5" i="20" s="1"/>
  <c r="F59" i="9"/>
  <c r="L24" i="20" s="1"/>
  <c r="F51" i="9"/>
  <c r="L16" i="20" s="1"/>
  <c r="F47" i="9"/>
  <c r="L12" i="20" s="1"/>
  <c r="F39" i="9"/>
  <c r="L4" i="20" s="1"/>
  <c r="F55" i="9"/>
  <c r="L20" i="20" s="1"/>
  <c r="F43" i="9"/>
  <c r="L8" i="20" s="1"/>
  <c r="F57" i="9"/>
  <c r="L22" i="20" s="1"/>
  <c r="F44" i="9"/>
  <c r="L9" i="20" s="1"/>
  <c r="F32" i="9"/>
  <c r="F150"/>
  <c r="V44"/>
  <c r="AB9" i="20" s="1"/>
  <c r="V43" i="9"/>
  <c r="AB8" i="20" s="1"/>
  <c r="V59" i="9"/>
  <c r="AB24" i="20" s="1"/>
  <c r="V32" i="9"/>
  <c r="V40"/>
  <c r="AB5" i="20" s="1"/>
  <c r="V57" i="9"/>
  <c r="AB22" i="20" s="1"/>
  <c r="V51" i="9"/>
  <c r="AB16" i="20" s="1"/>
  <c r="V49" i="9"/>
  <c r="AB14" i="20" s="1"/>
  <c r="V47" i="9"/>
  <c r="AB12" i="20" s="1"/>
  <c r="V53" i="9"/>
  <c r="AB18" i="20" s="1"/>
  <c r="V61" i="9"/>
  <c r="AB26" i="20" s="1"/>
  <c r="V39" i="9"/>
  <c r="AB4" i="20" s="1"/>
  <c r="V55" i="9"/>
  <c r="AB20" i="20" s="1"/>
  <c r="V150" i="9"/>
  <c r="O3" i="20"/>
  <c r="AC3"/>
  <c r="P49" i="9"/>
  <c r="V14" i="20" s="1"/>
  <c r="P44" i="9"/>
  <c r="V9" i="20" s="1"/>
  <c r="P59" i="9"/>
  <c r="V24" i="20" s="1"/>
  <c r="P53" i="9"/>
  <c r="V18" i="20" s="1"/>
  <c r="P57" i="9"/>
  <c r="V22" i="20" s="1"/>
  <c r="P61" i="9"/>
  <c r="V26" i="20" s="1"/>
  <c r="P39" i="9"/>
  <c r="V4" i="20" s="1"/>
  <c r="P43" i="9"/>
  <c r="V8" i="20" s="1"/>
  <c r="P32" i="9"/>
  <c r="P40"/>
  <c r="V5" i="20" s="1"/>
  <c r="P51" i="9"/>
  <c r="V16" i="20" s="1"/>
  <c r="P47" i="9"/>
  <c r="V12" i="20" s="1"/>
  <c r="P55" i="9"/>
  <c r="V20" i="20" s="1"/>
  <c r="P150" i="9"/>
  <c r="P153" s="1"/>
  <c r="V83" i="17"/>
  <c r="AB43" i="20" s="1"/>
  <c r="V67" i="17"/>
  <c r="W219"/>
  <c r="V79"/>
  <c r="AB39" i="20" s="1"/>
  <c r="V71" i="17"/>
  <c r="AB31" i="20" s="1"/>
  <c r="V77" i="17"/>
  <c r="AB37" i="20" s="1"/>
  <c r="V89" i="17"/>
  <c r="AB49" i="20" s="1"/>
  <c r="V85" i="17"/>
  <c r="AB45" i="20" s="1"/>
  <c r="V75" i="17"/>
  <c r="AB35" i="20" s="1"/>
  <c r="V74" i="17"/>
  <c r="AB34" i="20" s="1"/>
  <c r="V87" i="17"/>
  <c r="AB47" i="20" s="1"/>
  <c r="V81" i="17"/>
  <c r="AB41" i="20" s="1"/>
  <c r="V70" i="17"/>
  <c r="AB30" i="20" s="1"/>
  <c r="T40" i="9"/>
  <c r="Z5" i="20" s="1"/>
  <c r="T39" i="9"/>
  <c r="Z4" i="20" s="1"/>
  <c r="T57" i="9"/>
  <c r="Z22" i="20" s="1"/>
  <c r="T47" i="9"/>
  <c r="Z12" i="20" s="1"/>
  <c r="T44" i="9"/>
  <c r="Z9" i="20" s="1"/>
  <c r="T32" i="9"/>
  <c r="T49"/>
  <c r="Z14" i="20" s="1"/>
  <c r="T53" i="9"/>
  <c r="Z18" i="20" s="1"/>
  <c r="T51" i="9"/>
  <c r="Z16" i="20" s="1"/>
  <c r="T43" i="9"/>
  <c r="Z8" i="20" s="1"/>
  <c r="T59" i="9"/>
  <c r="Z24" i="20" s="1"/>
  <c r="T55" i="9"/>
  <c r="Z20" i="20" s="1"/>
  <c r="T61" i="9"/>
  <c r="Z26" i="20" s="1"/>
  <c r="T150" i="9"/>
  <c r="T153" s="1"/>
  <c r="AD3" i="20"/>
  <c r="H57" i="9"/>
  <c r="N22" i="20" s="1"/>
  <c r="H59" i="9"/>
  <c r="N24" i="20" s="1"/>
  <c r="H47" i="9"/>
  <c r="N12" i="20" s="1"/>
  <c r="H53" i="9"/>
  <c r="N18" i="20" s="1"/>
  <c r="H39" i="9"/>
  <c r="N4" i="20" s="1"/>
  <c r="H40" i="9"/>
  <c r="N5" i="20" s="1"/>
  <c r="H44" i="9"/>
  <c r="N9" i="20" s="1"/>
  <c r="H55" i="9"/>
  <c r="N20" i="20" s="1"/>
  <c r="H51" i="9"/>
  <c r="N16" i="20" s="1"/>
  <c r="H49" i="9"/>
  <c r="N14" i="20" s="1"/>
  <c r="H43" i="9"/>
  <c r="N8" i="20" s="1"/>
  <c r="H61" i="9"/>
  <c r="N26" i="20" s="1"/>
  <c r="H150" i="9"/>
  <c r="X44"/>
  <c r="AD9" i="20" s="1"/>
  <c r="X40" i="9"/>
  <c r="AD5" i="20" s="1"/>
  <c r="X53" i="9"/>
  <c r="AD18" i="20" s="1"/>
  <c r="X49" i="9"/>
  <c r="AD14" i="20" s="1"/>
  <c r="X61" i="9"/>
  <c r="AD26" i="20" s="1"/>
  <c r="X43" i="9"/>
  <c r="AD8" i="20" s="1"/>
  <c r="X59" i="9"/>
  <c r="AD24" i="20" s="1"/>
  <c r="X51" i="9"/>
  <c r="AD16" i="20" s="1"/>
  <c r="X47" i="9"/>
  <c r="AD12" i="20" s="1"/>
  <c r="X39" i="9"/>
  <c r="AD4" i="20" s="1"/>
  <c r="X57" i="9"/>
  <c r="AD22" i="20" s="1"/>
  <c r="X55" i="9"/>
  <c r="AD20" i="20" s="1"/>
  <c r="X32" i="9"/>
  <c r="X150"/>
  <c r="X153" s="1"/>
  <c r="W32"/>
  <c r="W55"/>
  <c r="AC20" i="20" s="1"/>
  <c r="W49" i="9"/>
  <c r="AC14" i="20" s="1"/>
  <c r="W51" i="9"/>
  <c r="AC16" i="20" s="1"/>
  <c r="W39" i="9"/>
  <c r="AC4" i="20" s="1"/>
  <c r="W61" i="9"/>
  <c r="AC26" i="20" s="1"/>
  <c r="W43" i="9"/>
  <c r="AC8" i="20" s="1"/>
  <c r="W57" i="9"/>
  <c r="AC22" i="20" s="1"/>
  <c r="W40" i="9"/>
  <c r="AC5" i="20" s="1"/>
  <c r="W47" i="9"/>
  <c r="AC12" i="20" s="1"/>
  <c r="W59" i="9"/>
  <c r="AC24" i="20" s="1"/>
  <c r="W44" i="9"/>
  <c r="AC9" i="20" s="1"/>
  <c r="W53" i="9"/>
  <c r="AC18" i="20" s="1"/>
  <c r="W150" i="9"/>
  <c r="W153" s="1"/>
  <c r="S3" i="20"/>
  <c r="V79" i="9"/>
  <c r="AB3" i="20"/>
  <c r="U81" i="17"/>
  <c r="AA41" i="20" s="1"/>
  <c r="U71" i="17"/>
  <c r="AA31" i="20" s="1"/>
  <c r="U83" i="17"/>
  <c r="AA43" i="20" s="1"/>
  <c r="U70" i="17"/>
  <c r="AA30" i="20" s="1"/>
  <c r="U67" i="17"/>
  <c r="U85"/>
  <c r="AA45" i="20" s="1"/>
  <c r="U79" i="17"/>
  <c r="AA39" i="20" s="1"/>
  <c r="U74" i="17"/>
  <c r="AA34" i="20" s="1"/>
  <c r="V219" i="17"/>
  <c r="U89"/>
  <c r="AA49" i="20" s="1"/>
  <c r="U77" i="17"/>
  <c r="AA37" i="20" s="1"/>
  <c r="U87" i="17"/>
  <c r="AA47" i="20" s="1"/>
  <c r="U75" i="17"/>
  <c r="AA35" i="20" s="1"/>
  <c r="O55" i="9"/>
  <c r="U20" i="20" s="1"/>
  <c r="O61" i="9"/>
  <c r="U26" i="20" s="1"/>
  <c r="O49" i="9"/>
  <c r="U14" i="20" s="1"/>
  <c r="O39" i="9"/>
  <c r="U4" i="20" s="1"/>
  <c r="O43" i="9"/>
  <c r="U8" i="20" s="1"/>
  <c r="O47" i="9"/>
  <c r="U12" i="20" s="1"/>
  <c r="O40" i="9"/>
  <c r="U5" i="20" s="1"/>
  <c r="O51" i="9"/>
  <c r="U16" i="20" s="1"/>
  <c r="O32" i="9"/>
  <c r="O59"/>
  <c r="U24" i="20" s="1"/>
  <c r="O57" i="9"/>
  <c r="U22" i="20" s="1"/>
  <c r="O53" i="9"/>
  <c r="U18" i="20" s="1"/>
  <c r="O44" i="9"/>
  <c r="U9" i="20" s="1"/>
  <c r="O150" i="9"/>
  <c r="O153" s="1"/>
  <c r="W87" i="17"/>
  <c r="AC47" i="20" s="1"/>
  <c r="W79" i="17"/>
  <c r="AC39" i="20" s="1"/>
  <c r="W74" i="17"/>
  <c r="AC34" i="20" s="1"/>
  <c r="W89" i="17"/>
  <c r="AC49" i="20" s="1"/>
  <c r="W81" i="17"/>
  <c r="AC41" i="20" s="1"/>
  <c r="W83" i="17"/>
  <c r="AC43" i="20" s="1"/>
  <c r="W75" i="17"/>
  <c r="AC35" i="20" s="1"/>
  <c r="W77" i="17"/>
  <c r="AC37" i="20" s="1"/>
  <c r="W85" i="17"/>
  <c r="AC45" i="20" s="1"/>
  <c r="W71" i="17"/>
  <c r="AC31" i="20" s="1"/>
  <c r="W70" i="17"/>
  <c r="AC30" i="20" s="1"/>
  <c r="W67" i="17"/>
  <c r="X219"/>
  <c r="AA24" i="9"/>
  <c r="V153"/>
  <c r="J57"/>
  <c r="P22" i="20" s="1"/>
  <c r="J47" i="9"/>
  <c r="P12" i="20" s="1"/>
  <c r="J39" i="9"/>
  <c r="P4" i="20" s="1"/>
  <c r="J61" i="9"/>
  <c r="P26" i="20" s="1"/>
  <c r="J55" i="9"/>
  <c r="P20" i="20" s="1"/>
  <c r="J44" i="9"/>
  <c r="P9" i="20" s="1"/>
  <c r="J32" i="9"/>
  <c r="J59"/>
  <c r="P24" i="20" s="1"/>
  <c r="J51" i="9"/>
  <c r="P16" i="20" s="1"/>
  <c r="J49" i="9"/>
  <c r="P14" i="20" s="1"/>
  <c r="J40" i="9"/>
  <c r="P5" i="20" s="1"/>
  <c r="J53" i="9"/>
  <c r="P18" i="20" s="1"/>
  <c r="J43" i="9"/>
  <c r="P8" i="20" s="1"/>
  <c r="J150" i="9"/>
  <c r="U59"/>
  <c r="AA24" i="20" s="1"/>
  <c r="U51" i="9"/>
  <c r="AA16" i="20" s="1"/>
  <c r="U39" i="9"/>
  <c r="AA4" i="20" s="1"/>
  <c r="U44" i="9"/>
  <c r="AA9" i="20" s="1"/>
  <c r="U32" i="9"/>
  <c r="U49"/>
  <c r="AA14" i="20" s="1"/>
  <c r="U61" i="9"/>
  <c r="AA26" i="20" s="1"/>
  <c r="U53" i="9"/>
  <c r="AA18" i="20" s="1"/>
  <c r="U40" i="9"/>
  <c r="AA5" i="20" s="1"/>
  <c r="U43" i="9"/>
  <c r="AA8" i="20" s="1"/>
  <c r="U55" i="9"/>
  <c r="AA20" i="20" s="1"/>
  <c r="U47" i="9"/>
  <c r="AA12" i="20" s="1"/>
  <c r="U57" i="9"/>
  <c r="AA22" i="20" s="1"/>
  <c r="U150" i="9"/>
  <c r="U153" s="1"/>
  <c r="S57"/>
  <c r="Y22" i="20" s="1"/>
  <c r="S55" i="9"/>
  <c r="Y20" i="20" s="1"/>
  <c r="S40" i="9"/>
  <c r="Y5" i="20" s="1"/>
  <c r="S61" i="9"/>
  <c r="Y26" i="20" s="1"/>
  <c r="S47" i="9"/>
  <c r="Y12" i="20" s="1"/>
  <c r="S49" i="9"/>
  <c r="Y14" i="20" s="1"/>
  <c r="S53" i="9"/>
  <c r="Y18" i="20" s="1"/>
  <c r="S39" i="9"/>
  <c r="Y4" i="20" s="1"/>
  <c r="S51" i="9"/>
  <c r="Y16" i="20" s="1"/>
  <c r="S43" i="9"/>
  <c r="Y8" i="20" s="1"/>
  <c r="S44" i="9"/>
  <c r="Y9" i="20" s="1"/>
  <c r="S59" i="9"/>
  <c r="Y24" i="20" s="1"/>
  <c r="S32" i="9"/>
  <c r="S150"/>
  <c r="S153" s="1"/>
  <c r="I150"/>
  <c r="I44"/>
  <c r="O9" i="20" s="1"/>
  <c r="I51" i="9"/>
  <c r="O16" i="20" s="1"/>
  <c r="I61" i="9"/>
  <c r="O26" i="20" s="1"/>
  <c r="I53" i="9"/>
  <c r="O18" i="20" s="1"/>
  <c r="I49" i="9"/>
  <c r="O14" i="20" s="1"/>
  <c r="I55" i="9"/>
  <c r="O20" i="20" s="1"/>
  <c r="I47" i="9"/>
  <c r="O12" i="20" s="1"/>
  <c r="I39" i="9"/>
  <c r="O4" i="20" s="1"/>
  <c r="I43" i="9"/>
  <c r="O8" i="20" s="1"/>
  <c r="I32" i="9"/>
  <c r="I59"/>
  <c r="O24" i="20" s="1"/>
  <c r="I40" i="9"/>
  <c r="O5" i="20" s="1"/>
  <c r="I57" i="9"/>
  <c r="O22" i="20" s="1"/>
  <c r="R3"/>
  <c r="N39" i="9"/>
  <c r="T4" i="20" s="1"/>
  <c r="N53" i="9"/>
  <c r="T18" i="20" s="1"/>
  <c r="N51" i="9"/>
  <c r="T16" i="20" s="1"/>
  <c r="N59" i="9"/>
  <c r="T24" i="20" s="1"/>
  <c r="N47" i="9"/>
  <c r="T12" i="20" s="1"/>
  <c r="N32" i="9"/>
  <c r="N40"/>
  <c r="T5" i="20" s="1"/>
  <c r="N57" i="9"/>
  <c r="T22" i="20" s="1"/>
  <c r="N44" i="9"/>
  <c r="T9" i="20" s="1"/>
  <c r="N55" i="9"/>
  <c r="T20" i="20" s="1"/>
  <c r="N61" i="9"/>
  <c r="T26" i="20" s="1"/>
  <c r="N49" i="9"/>
  <c r="T14" i="20" s="1"/>
  <c r="N43" i="9"/>
  <c r="T8" i="20" s="1"/>
  <c r="N150" i="9"/>
  <c r="N153" s="1"/>
  <c r="Y3" i="20"/>
  <c r="T3"/>
  <c r="N95" i="9"/>
  <c r="N76"/>
  <c r="N113" s="1"/>
  <c r="N78"/>
  <c r="W3" i="20"/>
  <c r="H86" i="9"/>
  <c r="N3" i="20"/>
  <c r="H76" i="9"/>
  <c r="H113" s="1"/>
  <c r="E54"/>
  <c r="E48"/>
  <c r="E41"/>
  <c r="E58"/>
  <c r="E50"/>
  <c r="E46"/>
  <c r="E38"/>
  <c r="E56"/>
  <c r="E42"/>
  <c r="E45"/>
  <c r="AA30"/>
  <c r="E60"/>
  <c r="E52"/>
  <c r="E151"/>
  <c r="L43"/>
  <c r="R8" i="20" s="1"/>
  <c r="L39" i="9"/>
  <c r="R4" i="20" s="1"/>
  <c r="L32" i="9"/>
  <c r="L51"/>
  <c r="R16" i="20" s="1"/>
  <c r="L47" i="9"/>
  <c r="R12" i="20" s="1"/>
  <c r="L57" i="9"/>
  <c r="R22" i="20" s="1"/>
  <c r="L49" i="9"/>
  <c r="R14" i="20" s="1"/>
  <c r="L61" i="9"/>
  <c r="R26" i="20" s="1"/>
  <c r="L44" i="9"/>
  <c r="R9" i="20" s="1"/>
  <c r="L40" i="9"/>
  <c r="R5" i="20" s="1"/>
  <c r="L53" i="9"/>
  <c r="R18" i="20" s="1"/>
  <c r="L55" i="9"/>
  <c r="R20" i="20" s="1"/>
  <c r="L59" i="9"/>
  <c r="R24" i="20" s="1"/>
  <c r="L150" i="9"/>
  <c r="L153" s="1"/>
  <c r="Z3" i="20"/>
  <c r="T76" i="9"/>
  <c r="T113" s="1"/>
  <c r="AA3" i="20"/>
  <c r="U89" i="9"/>
  <c r="V3" i="20"/>
  <c r="P95" i="9"/>
  <c r="K61"/>
  <c r="Q26" i="20" s="1"/>
  <c r="K44" i="9"/>
  <c r="Q9" i="20" s="1"/>
  <c r="K57" i="9"/>
  <c r="Q22" i="20" s="1"/>
  <c r="K32" i="9"/>
  <c r="K55"/>
  <c r="Q20" i="20" s="1"/>
  <c r="K53" i="9"/>
  <c r="Q18" i="20" s="1"/>
  <c r="K47" i="9"/>
  <c r="Q12" i="20" s="1"/>
  <c r="K43" i="9"/>
  <c r="Q8" i="20" s="1"/>
  <c r="K49" i="9"/>
  <c r="Q14" i="20" s="1"/>
  <c r="K39" i="9"/>
  <c r="K59"/>
  <c r="Q24" i="20" s="1"/>
  <c r="K40" i="9"/>
  <c r="Q5" i="20" s="1"/>
  <c r="K51" i="9"/>
  <c r="Q16" i="20" s="1"/>
  <c r="K150" i="9"/>
  <c r="X3" i="20"/>
  <c r="U3"/>
  <c r="O95" i="9"/>
  <c r="P3" i="20"/>
  <c r="J79" i="9"/>
  <c r="X85" i="17"/>
  <c r="AD45" i="20" s="1"/>
  <c r="X71" i="17"/>
  <c r="AD31" i="20" s="1"/>
  <c r="X89" i="17"/>
  <c r="AD49" i="20" s="1"/>
  <c r="X67" i="17"/>
  <c r="X83"/>
  <c r="AD43" i="20" s="1"/>
  <c r="X70" i="17"/>
  <c r="AD30" i="20" s="1"/>
  <c r="X75" i="17"/>
  <c r="AD35" i="20" s="1"/>
  <c r="X87" i="17"/>
  <c r="AD47" i="20" s="1"/>
  <c r="X79" i="17"/>
  <c r="AD39" i="20" s="1"/>
  <c r="X77" i="17"/>
  <c r="AD37" i="20" s="1"/>
  <c r="Y219" i="17"/>
  <c r="X81"/>
  <c r="AD41" i="20" s="1"/>
  <c r="X74" i="17"/>
  <c r="AD34" i="20" s="1"/>
  <c r="M55" i="9"/>
  <c r="S20" i="20" s="1"/>
  <c r="M51" i="9"/>
  <c r="S16" i="20" s="1"/>
  <c r="M32" i="9"/>
  <c r="M49"/>
  <c r="S14" i="20" s="1"/>
  <c r="M61" i="9"/>
  <c r="S26" i="20" s="1"/>
  <c r="M53" i="9"/>
  <c r="S18" i="20" s="1"/>
  <c r="M39" i="9"/>
  <c r="S4" i="20" s="1"/>
  <c r="M59" i="9"/>
  <c r="S24" i="20" s="1"/>
  <c r="M43" i="9"/>
  <c r="S8" i="20" s="1"/>
  <c r="M47" i="9"/>
  <c r="S12" i="20" s="1"/>
  <c r="M57" i="9"/>
  <c r="S22" i="20" s="1"/>
  <c r="M44" i="9"/>
  <c r="S9" i="20" s="1"/>
  <c r="M40" i="9"/>
  <c r="S5" i="20" s="1"/>
  <c r="M150" i="9"/>
  <c r="M153" s="1"/>
  <c r="Q57"/>
  <c r="W22" i="20" s="1"/>
  <c r="Q44" i="9"/>
  <c r="W9" i="20" s="1"/>
  <c r="Q47" i="9"/>
  <c r="W12" i="20" s="1"/>
  <c r="Q53" i="9"/>
  <c r="W18" i="20" s="1"/>
  <c r="Q39" i="9"/>
  <c r="W4" i="20" s="1"/>
  <c r="Q43" i="9"/>
  <c r="W8" i="20" s="1"/>
  <c r="Q40" i="9"/>
  <c r="W5" i="20" s="1"/>
  <c r="Q59" i="9"/>
  <c r="W24" i="20" s="1"/>
  <c r="Q51" i="9"/>
  <c r="W16" i="20" s="1"/>
  <c r="Q49" i="9"/>
  <c r="W14" i="20" s="1"/>
  <c r="Q32" i="9"/>
  <c r="Q61"/>
  <c r="W26" i="20" s="1"/>
  <c r="Q55" i="9"/>
  <c r="W20" i="20" s="1"/>
  <c r="Q150" i="9"/>
  <c r="Q153" s="1"/>
  <c r="S83" i="17"/>
  <c r="Y43" i="20" s="1"/>
  <c r="S75" i="17"/>
  <c r="Y35" i="20" s="1"/>
  <c r="S77" i="17"/>
  <c r="Y37" i="20" s="1"/>
  <c r="S85" i="17"/>
  <c r="Y45" i="20" s="1"/>
  <c r="S87" i="17"/>
  <c r="Y47" i="20" s="1"/>
  <c r="S79" i="17"/>
  <c r="Y39" i="20" s="1"/>
  <c r="S74" i="17"/>
  <c r="Y34" i="20" s="1"/>
  <c r="S89" i="17"/>
  <c r="Y49" i="20" s="1"/>
  <c r="S81" i="17"/>
  <c r="Y41" i="20" s="1"/>
  <c r="S70" i="17"/>
  <c r="Y30" i="20" s="1"/>
  <c r="S67" i="17"/>
  <c r="S71"/>
  <c r="Y31" i="20" s="1"/>
  <c r="T219" i="17"/>
  <c r="T87"/>
  <c r="Z47" i="20" s="1"/>
  <c r="T79" i="17"/>
  <c r="Z39" i="20" s="1"/>
  <c r="T70" i="17"/>
  <c r="Z30" i="20" s="1"/>
  <c r="U219" i="17"/>
  <c r="T83"/>
  <c r="Z43" i="20" s="1"/>
  <c r="T75" i="17"/>
  <c r="Z35" i="20" s="1"/>
  <c r="T71" i="17"/>
  <c r="Z31" i="20" s="1"/>
  <c r="T89" i="17"/>
  <c r="Z49" i="20" s="1"/>
  <c r="T81" i="17"/>
  <c r="Z41" i="20" s="1"/>
  <c r="T77" i="17"/>
  <c r="Z37" i="20" s="1"/>
  <c r="T67" i="17"/>
  <c r="T74"/>
  <c r="Z34" i="20" s="1"/>
  <c r="T85" i="17"/>
  <c r="Z45" i="20" s="1"/>
  <c r="G61" i="9"/>
  <c r="M26" i="20" s="1"/>
  <c r="G53" i="9"/>
  <c r="M18" i="20" s="1"/>
  <c r="G47" i="9"/>
  <c r="M12" i="20" s="1"/>
  <c r="G39" i="9"/>
  <c r="G49"/>
  <c r="M14" i="20" s="1"/>
  <c r="G57" i="9"/>
  <c r="M22" i="20" s="1"/>
  <c r="G59" i="9"/>
  <c r="M24" i="20" s="1"/>
  <c r="G51" i="9"/>
  <c r="M16" i="20" s="1"/>
  <c r="G44" i="9"/>
  <c r="M9" i="20" s="1"/>
  <c r="G55" i="9"/>
  <c r="M20" i="20" s="1"/>
  <c r="G40" i="9"/>
  <c r="M5" i="20" s="1"/>
  <c r="G32" i="9"/>
  <c r="G43"/>
  <c r="M8" i="20" s="1"/>
  <c r="G150" i="9"/>
  <c r="E150"/>
  <c r="E57"/>
  <c r="E47"/>
  <c r="E43"/>
  <c r="E55"/>
  <c r="E44"/>
  <c r="E53"/>
  <c r="E51"/>
  <c r="E32"/>
  <c r="E61"/>
  <c r="E40"/>
  <c r="E49"/>
  <c r="E59"/>
  <c r="E39"/>
  <c r="AA29"/>
  <c r="G143" i="17" l="1"/>
  <c r="H158"/>
  <c r="L158"/>
  <c r="I156"/>
  <c r="J157"/>
  <c r="J154"/>
  <c r="P92"/>
  <c r="P108"/>
  <c r="P114"/>
  <c r="P121"/>
  <c r="M122"/>
  <c r="M112"/>
  <c r="F161"/>
  <c r="N118"/>
  <c r="N155" s="1"/>
  <c r="N109"/>
  <c r="N115"/>
  <c r="Q92"/>
  <c r="Q108"/>
  <c r="Q145" s="1"/>
  <c r="Q128"/>
  <c r="Q119"/>
  <c r="K112"/>
  <c r="K118"/>
  <c r="K129"/>
  <c r="K107"/>
  <c r="J91" i="9"/>
  <c r="J128" s="1"/>
  <c r="O76"/>
  <c r="O113" s="1"/>
  <c r="P86"/>
  <c r="H95"/>
  <c r="H92"/>
  <c r="G129" i="17"/>
  <c r="G166" s="1"/>
  <c r="G128"/>
  <c r="G165" s="1"/>
  <c r="G109"/>
  <c r="G112"/>
  <c r="I92"/>
  <c r="I122"/>
  <c r="I118"/>
  <c r="J127"/>
  <c r="J164" s="1"/>
  <c r="J122"/>
  <c r="J159" s="1"/>
  <c r="J119"/>
  <c r="P117"/>
  <c r="P113"/>
  <c r="P150" s="1"/>
  <c r="P119"/>
  <c r="P156" s="1"/>
  <c r="P128"/>
  <c r="M117"/>
  <c r="M106"/>
  <c r="M143" s="1"/>
  <c r="M127"/>
  <c r="F117"/>
  <c r="F107"/>
  <c r="F109"/>
  <c r="F146" s="1"/>
  <c r="F116"/>
  <c r="H126"/>
  <c r="H121"/>
  <c r="H128"/>
  <c r="H165" s="1"/>
  <c r="N121"/>
  <c r="N126"/>
  <c r="N105"/>
  <c r="N142" s="1"/>
  <c r="Q117"/>
  <c r="Q154" s="1"/>
  <c r="Q118"/>
  <c r="Q124"/>
  <c r="K114"/>
  <c r="K123"/>
  <c r="K160" s="1"/>
  <c r="K92"/>
  <c r="K113"/>
  <c r="K150" s="1"/>
  <c r="L155"/>
  <c r="L159"/>
  <c r="J63" i="9"/>
  <c r="O97"/>
  <c r="R85"/>
  <c r="P87"/>
  <c r="P124" s="1"/>
  <c r="T77"/>
  <c r="H99"/>
  <c r="N90"/>
  <c r="N92"/>
  <c r="N129" s="1"/>
  <c r="S78"/>
  <c r="V99"/>
  <c r="V93"/>
  <c r="V130" s="1"/>
  <c r="I94"/>
  <c r="F99"/>
  <c r="G114" i="17"/>
  <c r="G107"/>
  <c r="G144" s="1"/>
  <c r="G120"/>
  <c r="G157" s="1"/>
  <c r="G111"/>
  <c r="G105"/>
  <c r="G142" s="1"/>
  <c r="G108"/>
  <c r="I114"/>
  <c r="I151" s="1"/>
  <c r="I108"/>
  <c r="I120"/>
  <c r="I157" s="1"/>
  <c r="I109"/>
  <c r="I146" s="1"/>
  <c r="I111"/>
  <c r="I148" s="1"/>
  <c r="I107"/>
  <c r="I112"/>
  <c r="J92"/>
  <c r="J107"/>
  <c r="J115"/>
  <c r="J105"/>
  <c r="J142" s="1"/>
  <c r="J124"/>
  <c r="J161" s="1"/>
  <c r="J123"/>
  <c r="J160" s="1"/>
  <c r="P127"/>
  <c r="P124"/>
  <c r="P120"/>
  <c r="P157" s="1"/>
  <c r="P112"/>
  <c r="P118"/>
  <c r="P155" s="1"/>
  <c r="P129"/>
  <c r="P166" s="1"/>
  <c r="M110"/>
  <c r="M147" s="1"/>
  <c r="M120"/>
  <c r="M128"/>
  <c r="M111"/>
  <c r="M116"/>
  <c r="M153" s="1"/>
  <c r="M115"/>
  <c r="M152" s="1"/>
  <c r="F113"/>
  <c r="F106"/>
  <c r="F92"/>
  <c r="F105"/>
  <c r="F142" s="1"/>
  <c r="F118"/>
  <c r="F155" s="1"/>
  <c r="F125"/>
  <c r="F162" s="1"/>
  <c r="H129"/>
  <c r="H166" s="1"/>
  <c r="H108"/>
  <c r="H145" s="1"/>
  <c r="H118"/>
  <c r="H105"/>
  <c r="H142" s="1"/>
  <c r="H114"/>
  <c r="H115"/>
  <c r="N106"/>
  <c r="N143" s="1"/>
  <c r="N111"/>
  <c r="N108"/>
  <c r="N113"/>
  <c r="N150" s="1"/>
  <c r="N92"/>
  <c r="N107"/>
  <c r="N120"/>
  <c r="N157" s="1"/>
  <c r="Q115"/>
  <c r="Q152" s="1"/>
  <c r="Q123"/>
  <c r="Q105"/>
  <c r="Q142" s="1"/>
  <c r="Q121"/>
  <c r="Q158" s="1"/>
  <c r="Q129"/>
  <c r="Q166" s="1"/>
  <c r="Q125"/>
  <c r="Q162" s="1"/>
  <c r="K122"/>
  <c r="K121"/>
  <c r="K158" s="1"/>
  <c r="K106"/>
  <c r="K143" s="1"/>
  <c r="K108"/>
  <c r="K145" s="1"/>
  <c r="K116"/>
  <c r="K117"/>
  <c r="K154" s="1"/>
  <c r="L115"/>
  <c r="L126"/>
  <c r="L163" s="1"/>
  <c r="L111"/>
  <c r="L114"/>
  <c r="L151" s="1"/>
  <c r="L107"/>
  <c r="L116"/>
  <c r="O114"/>
  <c r="O105"/>
  <c r="O142" s="1"/>
  <c r="O120"/>
  <c r="O117"/>
  <c r="O128"/>
  <c r="O115"/>
  <c r="O152" s="1"/>
  <c r="O116"/>
  <c r="O110"/>
  <c r="O147" s="1"/>
  <c r="O92"/>
  <c r="O111"/>
  <c r="O148" s="1"/>
  <c r="O124"/>
  <c r="O161" s="1"/>
  <c r="O106"/>
  <c r="O109"/>
  <c r="U27" i="20"/>
  <c r="O127" i="17"/>
  <c r="O123"/>
  <c r="O160" s="1"/>
  <c r="O122"/>
  <c r="O126"/>
  <c r="O112"/>
  <c r="O119"/>
  <c r="O108"/>
  <c r="O107"/>
  <c r="O144" s="1"/>
  <c r="O118"/>
  <c r="O155" s="1"/>
  <c r="O121"/>
  <c r="O125"/>
  <c r="O113"/>
  <c r="O129"/>
  <c r="O166" s="1"/>
  <c r="G147"/>
  <c r="G162"/>
  <c r="I150"/>
  <c r="J163"/>
  <c r="J158"/>
  <c r="P107"/>
  <c r="P115"/>
  <c r="P125"/>
  <c r="P162" s="1"/>
  <c r="M119"/>
  <c r="M107"/>
  <c r="M113"/>
  <c r="M150" s="1"/>
  <c r="M126"/>
  <c r="M109"/>
  <c r="M146" s="1"/>
  <c r="F156"/>
  <c r="F163"/>
  <c r="H164"/>
  <c r="H143"/>
  <c r="N124"/>
  <c r="N161" s="1"/>
  <c r="N128"/>
  <c r="Q143"/>
  <c r="Q107"/>
  <c r="Q144" s="1"/>
  <c r="Q122"/>
  <c r="K127"/>
  <c r="K164" s="1"/>
  <c r="K120"/>
  <c r="K157" s="1"/>
  <c r="K109"/>
  <c r="K146" s="1"/>
  <c r="R93" i="9"/>
  <c r="R130" s="1"/>
  <c r="T95"/>
  <c r="V91"/>
  <c r="G118" i="17"/>
  <c r="G92"/>
  <c r="G124"/>
  <c r="G161" s="1"/>
  <c r="I123"/>
  <c r="I160" s="1"/>
  <c r="I121"/>
  <c r="I158" s="1"/>
  <c r="I126"/>
  <c r="I163" s="1"/>
  <c r="J113"/>
  <c r="J150" s="1"/>
  <c r="J125"/>
  <c r="J128"/>
  <c r="P111"/>
  <c r="P148" s="1"/>
  <c r="P106"/>
  <c r="P143" s="1"/>
  <c r="P123"/>
  <c r="M114"/>
  <c r="M151" s="1"/>
  <c r="M118"/>
  <c r="M155" s="1"/>
  <c r="M125"/>
  <c r="M108"/>
  <c r="M145" s="1"/>
  <c r="F120"/>
  <c r="F157" s="1"/>
  <c r="F112"/>
  <c r="F149" s="1"/>
  <c r="F110"/>
  <c r="H109"/>
  <c r="H122"/>
  <c r="H159" s="1"/>
  <c r="H113"/>
  <c r="H150" s="1"/>
  <c r="N129"/>
  <c r="N112"/>
  <c r="N149" s="1"/>
  <c r="N116"/>
  <c r="N153" s="1"/>
  <c r="Q111"/>
  <c r="Q148" s="1"/>
  <c r="Q110"/>
  <c r="Q120"/>
  <c r="Q157" s="1"/>
  <c r="K115"/>
  <c r="K152" s="1"/>
  <c r="K111"/>
  <c r="K148" s="1"/>
  <c r="K128"/>
  <c r="L164"/>
  <c r="L149"/>
  <c r="J85" i="9"/>
  <c r="O87"/>
  <c r="R95"/>
  <c r="P91"/>
  <c r="H90"/>
  <c r="N63"/>
  <c r="S82"/>
  <c r="V87"/>
  <c r="V96"/>
  <c r="F92"/>
  <c r="G126" i="17"/>
  <c r="G115"/>
  <c r="G121"/>
  <c r="G158" s="1"/>
  <c r="G122"/>
  <c r="G113"/>
  <c r="G116"/>
  <c r="G153" s="1"/>
  <c r="I106"/>
  <c r="I143" s="1"/>
  <c r="I128"/>
  <c r="I165" s="1"/>
  <c r="I116"/>
  <c r="I153" s="1"/>
  <c r="I129"/>
  <c r="I117"/>
  <c r="I154" s="1"/>
  <c r="I124"/>
  <c r="I161" s="1"/>
  <c r="I110"/>
  <c r="J108"/>
  <c r="J118"/>
  <c r="J155" s="1"/>
  <c r="J109"/>
  <c r="J146" s="1"/>
  <c r="J110"/>
  <c r="J114"/>
  <c r="J106"/>
  <c r="J143" s="1"/>
  <c r="J129"/>
  <c r="J166" s="1"/>
  <c r="P110"/>
  <c r="P147" s="1"/>
  <c r="P105"/>
  <c r="P142" s="1"/>
  <c r="P122"/>
  <c r="P159" s="1"/>
  <c r="P116"/>
  <c r="P153" s="1"/>
  <c r="P126"/>
  <c r="P109"/>
  <c r="P146" s="1"/>
  <c r="M123"/>
  <c r="M160" s="1"/>
  <c r="M129"/>
  <c r="M166" s="1"/>
  <c r="M121"/>
  <c r="M105"/>
  <c r="M142" s="1"/>
  <c r="M92"/>
  <c r="M124"/>
  <c r="F121"/>
  <c r="F158" s="1"/>
  <c r="F129"/>
  <c r="F127"/>
  <c r="F164" s="1"/>
  <c r="F115"/>
  <c r="F152" s="1"/>
  <c r="F128"/>
  <c r="F123"/>
  <c r="F160" s="1"/>
  <c r="H125"/>
  <c r="H162" s="1"/>
  <c r="H123"/>
  <c r="H160" s="1"/>
  <c r="H112"/>
  <c r="H149" s="1"/>
  <c r="H124"/>
  <c r="H117"/>
  <c r="H154" s="1"/>
  <c r="H119"/>
  <c r="H156" s="1"/>
  <c r="H116"/>
  <c r="N110"/>
  <c r="N127"/>
  <c r="N164" s="1"/>
  <c r="N117"/>
  <c r="N154" s="1"/>
  <c r="N122"/>
  <c r="N114"/>
  <c r="N125"/>
  <c r="N162" s="1"/>
  <c r="N119"/>
  <c r="Q126"/>
  <c r="Q163" s="1"/>
  <c r="Q112"/>
  <c r="Q113"/>
  <c r="Q150" s="1"/>
  <c r="Q109"/>
  <c r="Q116"/>
  <c r="Q114"/>
  <c r="Q127"/>
  <c r="Q164" s="1"/>
  <c r="K110"/>
  <c r="K147" s="1"/>
  <c r="K119"/>
  <c r="K105"/>
  <c r="K142" s="1"/>
  <c r="K125"/>
  <c r="K162" s="1"/>
  <c r="K124"/>
  <c r="K126"/>
  <c r="L124"/>
  <c r="L110"/>
  <c r="L147" s="1"/>
  <c r="L129"/>
  <c r="L166" s="1"/>
  <c r="L123"/>
  <c r="L160" s="1"/>
  <c r="L105"/>
  <c r="L142" s="1"/>
  <c r="L108"/>
  <c r="L146" s="1"/>
  <c r="L119"/>
  <c r="L156" s="1"/>
  <c r="E117"/>
  <c r="E106"/>
  <c r="E127"/>
  <c r="E125"/>
  <c r="E115"/>
  <c r="E109"/>
  <c r="E110"/>
  <c r="E118"/>
  <c r="E155" s="1"/>
  <c r="E194" s="1"/>
  <c r="F194" s="1"/>
  <c r="E111"/>
  <c r="E108"/>
  <c r="E123"/>
  <c r="E112"/>
  <c r="E128"/>
  <c r="E121"/>
  <c r="E122"/>
  <c r="E116"/>
  <c r="E153" s="1"/>
  <c r="E192" s="1"/>
  <c r="E126"/>
  <c r="E105"/>
  <c r="E142" s="1"/>
  <c r="E120"/>
  <c r="E157" s="1"/>
  <c r="E196" s="1"/>
  <c r="F196" s="1"/>
  <c r="G196" s="1"/>
  <c r="E119"/>
  <c r="E156" s="1"/>
  <c r="E195" s="1"/>
  <c r="F195" s="1"/>
  <c r="E114"/>
  <c r="E124"/>
  <c r="E113"/>
  <c r="E129"/>
  <c r="E107"/>
  <c r="K28" i="20"/>
  <c r="E92" i="17"/>
  <c r="E93" s="1"/>
  <c r="F93" s="1"/>
  <c r="G93" s="1"/>
  <c r="H93" s="1"/>
  <c r="I93" s="1"/>
  <c r="J93" s="1"/>
  <c r="K93" s="1"/>
  <c r="L93" s="1"/>
  <c r="M93" s="1"/>
  <c r="N93" s="1"/>
  <c r="O93" s="1"/>
  <c r="P93" s="1"/>
  <c r="Q93" s="1"/>
  <c r="F129" i="9"/>
  <c r="J83"/>
  <c r="O85"/>
  <c r="R92"/>
  <c r="P94"/>
  <c r="P132" s="1"/>
  <c r="T99"/>
  <c r="N91"/>
  <c r="N79"/>
  <c r="N116" s="1"/>
  <c r="N82"/>
  <c r="N119" s="1"/>
  <c r="N88"/>
  <c r="S91"/>
  <c r="S96"/>
  <c r="V63"/>
  <c r="V78"/>
  <c r="V97"/>
  <c r="V77"/>
  <c r="V81"/>
  <c r="V118" s="1"/>
  <c r="V100"/>
  <c r="V137" s="1"/>
  <c r="V89"/>
  <c r="I78"/>
  <c r="I82"/>
  <c r="F91"/>
  <c r="F57" i="17"/>
  <c r="E60"/>
  <c r="O96" i="9"/>
  <c r="O133" s="1"/>
  <c r="O63"/>
  <c r="R97"/>
  <c r="R135" s="1"/>
  <c r="P92"/>
  <c r="P129" s="1"/>
  <c r="U100"/>
  <c r="J89"/>
  <c r="O79"/>
  <c r="R94"/>
  <c r="P83"/>
  <c r="U97"/>
  <c r="N80"/>
  <c r="N117" s="1"/>
  <c r="N96"/>
  <c r="N134" s="1"/>
  <c r="N84"/>
  <c r="N97"/>
  <c r="N94"/>
  <c r="N132" s="1"/>
  <c r="S92"/>
  <c r="S129" s="1"/>
  <c r="S77"/>
  <c r="S115" s="1"/>
  <c r="V80"/>
  <c r="V117" s="1"/>
  <c r="V92"/>
  <c r="V129" s="1"/>
  <c r="V86"/>
  <c r="V84"/>
  <c r="V85"/>
  <c r="V98"/>
  <c r="V136" s="1"/>
  <c r="I95"/>
  <c r="I132" s="1"/>
  <c r="F84"/>
  <c r="J95"/>
  <c r="J86"/>
  <c r="R86"/>
  <c r="P90"/>
  <c r="P128" s="1"/>
  <c r="U91"/>
  <c r="J77"/>
  <c r="J92"/>
  <c r="O89"/>
  <c r="O94"/>
  <c r="O132" s="1"/>
  <c r="R87"/>
  <c r="R83"/>
  <c r="P84"/>
  <c r="P82"/>
  <c r="U82"/>
  <c r="T81"/>
  <c r="T92"/>
  <c r="J96"/>
  <c r="J133" s="1"/>
  <c r="J88"/>
  <c r="J99"/>
  <c r="J98"/>
  <c r="O81"/>
  <c r="O86"/>
  <c r="O92"/>
  <c r="R100"/>
  <c r="R81"/>
  <c r="R98"/>
  <c r="P78"/>
  <c r="P80"/>
  <c r="P96"/>
  <c r="U96"/>
  <c r="T63"/>
  <c r="T94"/>
  <c r="T132" s="1"/>
  <c r="N83"/>
  <c r="N81"/>
  <c r="N85"/>
  <c r="N77"/>
  <c r="N115" s="1"/>
  <c r="S76"/>
  <c r="S113" s="1"/>
  <c r="V76"/>
  <c r="V113" s="1"/>
  <c r="V90"/>
  <c r="V128" s="1"/>
  <c r="V94"/>
  <c r="V131" s="1"/>
  <c r="V83"/>
  <c r="V82"/>
  <c r="V95"/>
  <c r="V88"/>
  <c r="I85"/>
  <c r="I96"/>
  <c r="F81"/>
  <c r="M4" i="20"/>
  <c r="G77" i="9"/>
  <c r="G99"/>
  <c r="G98"/>
  <c r="G83"/>
  <c r="G84"/>
  <c r="G94"/>
  <c r="G93"/>
  <c r="G81"/>
  <c r="G90"/>
  <c r="G85"/>
  <c r="G92"/>
  <c r="G97"/>
  <c r="G134" s="1"/>
  <c r="G96"/>
  <c r="G82"/>
  <c r="G89"/>
  <c r="G87"/>
  <c r="G78"/>
  <c r="G115" s="1"/>
  <c r="G86"/>
  <c r="G123" s="1"/>
  <c r="G91"/>
  <c r="G88"/>
  <c r="G125" s="1"/>
  <c r="G76"/>
  <c r="G113" s="1"/>
  <c r="G100"/>
  <c r="G137" s="1"/>
  <c r="G80"/>
  <c r="G63"/>
  <c r="G79"/>
  <c r="G116" s="1"/>
  <c r="G95"/>
  <c r="G132" s="1"/>
  <c r="K153"/>
  <c r="X21" i="17"/>
  <c r="K96" i="9"/>
  <c r="Q4" i="20"/>
  <c r="K86" i="9"/>
  <c r="K92"/>
  <c r="K78"/>
  <c r="K77"/>
  <c r="K88"/>
  <c r="K93"/>
  <c r="K84"/>
  <c r="K90"/>
  <c r="K99"/>
  <c r="K63"/>
  <c r="K94"/>
  <c r="K76"/>
  <c r="K113" s="1"/>
  <c r="K82"/>
  <c r="K91"/>
  <c r="K87"/>
  <c r="K95"/>
  <c r="K85"/>
  <c r="K98"/>
  <c r="K81"/>
  <c r="K100"/>
  <c r="K83"/>
  <c r="K120" s="1"/>
  <c r="K80"/>
  <c r="K89"/>
  <c r="K97"/>
  <c r="K79"/>
  <c r="T114"/>
  <c r="Y38"/>
  <c r="AE3" i="20" s="1"/>
  <c r="AA38" i="9"/>
  <c r="K3" i="20"/>
  <c r="AA41" i="9"/>
  <c r="Y41"/>
  <c r="AE6" i="20" s="1"/>
  <c r="K6"/>
  <c r="AC27"/>
  <c r="J123" i="9"/>
  <c r="O124"/>
  <c r="P133"/>
  <c r="U80"/>
  <c r="U93"/>
  <c r="U95"/>
  <c r="U87"/>
  <c r="U88"/>
  <c r="U126" s="1"/>
  <c r="U85"/>
  <c r="T90"/>
  <c r="T79"/>
  <c r="T80"/>
  <c r="T86"/>
  <c r="T82"/>
  <c r="T119" s="1"/>
  <c r="T93"/>
  <c r="T130" s="1"/>
  <c r="H87"/>
  <c r="H124" s="1"/>
  <c r="H84"/>
  <c r="H89"/>
  <c r="H93"/>
  <c r="H130" s="1"/>
  <c r="H96"/>
  <c r="H133" s="1"/>
  <c r="H77"/>
  <c r="H114" s="1"/>
  <c r="H80"/>
  <c r="Q97"/>
  <c r="Q93"/>
  <c r="Q86"/>
  <c r="Q89"/>
  <c r="Q92"/>
  <c r="Q80"/>
  <c r="N122"/>
  <c r="S93"/>
  <c r="S130" s="1"/>
  <c r="S81"/>
  <c r="S119" s="1"/>
  <c r="S97"/>
  <c r="S89"/>
  <c r="S90"/>
  <c r="S86"/>
  <c r="S87"/>
  <c r="L82"/>
  <c r="L91"/>
  <c r="L88"/>
  <c r="L77"/>
  <c r="L63"/>
  <c r="L100"/>
  <c r="V116"/>
  <c r="M84"/>
  <c r="M94"/>
  <c r="M92"/>
  <c r="M100"/>
  <c r="M96"/>
  <c r="M98"/>
  <c r="X76"/>
  <c r="X113" s="1"/>
  <c r="X78"/>
  <c r="X100"/>
  <c r="X99"/>
  <c r="X85"/>
  <c r="X98"/>
  <c r="W90"/>
  <c r="W95"/>
  <c r="W81"/>
  <c r="W85"/>
  <c r="W82"/>
  <c r="W91"/>
  <c r="I97"/>
  <c r="I134" s="1"/>
  <c r="I63"/>
  <c r="I83"/>
  <c r="I81"/>
  <c r="I92"/>
  <c r="I91"/>
  <c r="F96"/>
  <c r="F80"/>
  <c r="F118" s="1"/>
  <c r="F98"/>
  <c r="F136" s="1"/>
  <c r="F79"/>
  <c r="F86"/>
  <c r="F82"/>
  <c r="Y27" i="20"/>
  <c r="AD27"/>
  <c r="AA52" i="9"/>
  <c r="K17" i="20"/>
  <c r="Y52" i="9"/>
  <c r="AE17" i="20" s="1"/>
  <c r="AA50" i="9"/>
  <c r="K15" i="20"/>
  <c r="Y50" i="9"/>
  <c r="AE15" i="20" s="1"/>
  <c r="AA54" i="9"/>
  <c r="K19" i="20"/>
  <c r="Y54" i="9"/>
  <c r="AE19" i="20" s="1"/>
  <c r="N133" i="9"/>
  <c r="J153"/>
  <c r="W21" i="17"/>
  <c r="AA27" i="20"/>
  <c r="AB27"/>
  <c r="S21" i="17"/>
  <c r="F153" i="9"/>
  <c r="J126"/>
  <c r="T118"/>
  <c r="Q90"/>
  <c r="L94"/>
  <c r="L89"/>
  <c r="L126" s="1"/>
  <c r="M88"/>
  <c r="M89"/>
  <c r="X87"/>
  <c r="X97"/>
  <c r="W100"/>
  <c r="W94"/>
  <c r="W89"/>
  <c r="I133"/>
  <c r="J78"/>
  <c r="J115" s="1"/>
  <c r="J90"/>
  <c r="J127" s="1"/>
  <c r="O98"/>
  <c r="O135" s="1"/>
  <c r="O84"/>
  <c r="R88"/>
  <c r="R125" s="1"/>
  <c r="R76"/>
  <c r="R113" s="1"/>
  <c r="R80"/>
  <c r="R117" s="1"/>
  <c r="P81"/>
  <c r="P100"/>
  <c r="U94"/>
  <c r="U81"/>
  <c r="U118" s="1"/>
  <c r="T97"/>
  <c r="T88"/>
  <c r="H94"/>
  <c r="H131" s="1"/>
  <c r="H63"/>
  <c r="Q83"/>
  <c r="Q87"/>
  <c r="S63"/>
  <c r="S80"/>
  <c r="S100"/>
  <c r="S95"/>
  <c r="S114"/>
  <c r="S84"/>
  <c r="L98"/>
  <c r="L92"/>
  <c r="L76"/>
  <c r="L113" s="1"/>
  <c r="L78"/>
  <c r="L85"/>
  <c r="L93"/>
  <c r="L130" s="1"/>
  <c r="L86"/>
  <c r="M78"/>
  <c r="M93"/>
  <c r="M91"/>
  <c r="M99"/>
  <c r="M87"/>
  <c r="M97"/>
  <c r="M79"/>
  <c r="X92"/>
  <c r="X63"/>
  <c r="X88"/>
  <c r="X125" s="1"/>
  <c r="X79"/>
  <c r="X86"/>
  <c r="X84"/>
  <c r="X89"/>
  <c r="X126" s="1"/>
  <c r="W99"/>
  <c r="W92"/>
  <c r="W77"/>
  <c r="W86"/>
  <c r="W83"/>
  <c r="W120" s="1"/>
  <c r="W79"/>
  <c r="W84"/>
  <c r="I79"/>
  <c r="I88"/>
  <c r="I125" s="1"/>
  <c r="I99"/>
  <c r="I93"/>
  <c r="I76"/>
  <c r="I113" s="1"/>
  <c r="I84"/>
  <c r="I121" s="1"/>
  <c r="F97"/>
  <c r="F87"/>
  <c r="F124" s="1"/>
  <c r="F78"/>
  <c r="F94"/>
  <c r="F85"/>
  <c r="F77"/>
  <c r="F93"/>
  <c r="K25" i="20"/>
  <c r="Y60" i="9"/>
  <c r="AE25" i="20" s="1"/>
  <c r="AA60" i="9"/>
  <c r="Y56"/>
  <c r="AE21" i="20" s="1"/>
  <c r="AA56" i="9"/>
  <c r="K21" i="20"/>
  <c r="Y58" i="9"/>
  <c r="AE23" i="20" s="1"/>
  <c r="K23"/>
  <c r="AA58" i="9"/>
  <c r="G153"/>
  <c r="T21" i="17"/>
  <c r="Z27" i="20"/>
  <c r="Y42" i="9"/>
  <c r="AE7" i="20" s="1"/>
  <c r="K7"/>
  <c r="AA42" i="9"/>
  <c r="R22" i="17"/>
  <c r="AA151" i="9"/>
  <c r="AA45"/>
  <c r="Y45"/>
  <c r="AE10" i="20" s="1"/>
  <c r="K10"/>
  <c r="AA46" i="9"/>
  <c r="Y46"/>
  <c r="AE11" i="20" s="1"/>
  <c r="K11"/>
  <c r="AA48" i="9"/>
  <c r="K13" i="20"/>
  <c r="Y48" i="9"/>
  <c r="AE13" i="20" s="1"/>
  <c r="V21" i="17"/>
  <c r="I153" i="9"/>
  <c r="U21" i="17"/>
  <c r="H153" i="9"/>
  <c r="J116"/>
  <c r="O123"/>
  <c r="U133"/>
  <c r="Q85"/>
  <c r="Q63"/>
  <c r="Q91"/>
  <c r="Q100"/>
  <c r="Q77"/>
  <c r="Q96"/>
  <c r="L84"/>
  <c r="L80"/>
  <c r="L96"/>
  <c r="L87"/>
  <c r="M81"/>
  <c r="M85"/>
  <c r="M122" s="1"/>
  <c r="M76"/>
  <c r="M113" s="1"/>
  <c r="M90"/>
  <c r="M127" s="1"/>
  <c r="M80"/>
  <c r="X95"/>
  <c r="X91"/>
  <c r="X77"/>
  <c r="X93"/>
  <c r="X80"/>
  <c r="W80"/>
  <c r="W87"/>
  <c r="W93"/>
  <c r="W97"/>
  <c r="I100"/>
  <c r="F63"/>
  <c r="F100"/>
  <c r="F137" s="1"/>
  <c r="J82"/>
  <c r="J81"/>
  <c r="J94"/>
  <c r="J84"/>
  <c r="J121" s="1"/>
  <c r="O83"/>
  <c r="O93"/>
  <c r="O130" s="1"/>
  <c r="O80"/>
  <c r="O99"/>
  <c r="O90"/>
  <c r="R99"/>
  <c r="R136" s="1"/>
  <c r="R77"/>
  <c r="R90"/>
  <c r="R63"/>
  <c r="P76"/>
  <c r="P113" s="1"/>
  <c r="P99"/>
  <c r="P79"/>
  <c r="P97"/>
  <c r="P134" s="1"/>
  <c r="P98"/>
  <c r="U90"/>
  <c r="U127" s="1"/>
  <c r="U83"/>
  <c r="U120" s="1"/>
  <c r="U86"/>
  <c r="U63"/>
  <c r="U78"/>
  <c r="T85"/>
  <c r="T100"/>
  <c r="T137" s="1"/>
  <c r="T78"/>
  <c r="T115" s="1"/>
  <c r="T84"/>
  <c r="H100"/>
  <c r="H137" s="1"/>
  <c r="H79"/>
  <c r="H82"/>
  <c r="H97"/>
  <c r="Q79"/>
  <c r="Q82"/>
  <c r="Q81"/>
  <c r="Q88"/>
  <c r="Q99"/>
  <c r="AA32"/>
  <c r="J93"/>
  <c r="J97"/>
  <c r="J87"/>
  <c r="J124" s="1"/>
  <c r="J80"/>
  <c r="J117" s="1"/>
  <c r="J100"/>
  <c r="J76"/>
  <c r="J113" s="1"/>
  <c r="O88"/>
  <c r="O77"/>
  <c r="O114" s="1"/>
  <c r="O91"/>
  <c r="O128" s="1"/>
  <c r="O100"/>
  <c r="O82"/>
  <c r="O78"/>
  <c r="O115" s="1"/>
  <c r="R89"/>
  <c r="R126" s="1"/>
  <c r="R82"/>
  <c r="R79"/>
  <c r="R91"/>
  <c r="R128" s="1"/>
  <c r="R84"/>
  <c r="R96"/>
  <c r="R133" s="1"/>
  <c r="R78"/>
  <c r="R115" s="1"/>
  <c r="P93"/>
  <c r="P130" s="1"/>
  <c r="P77"/>
  <c r="P63"/>
  <c r="P88"/>
  <c r="P85"/>
  <c r="P122" s="1"/>
  <c r="P89"/>
  <c r="U77"/>
  <c r="U114" s="1"/>
  <c r="U99"/>
  <c r="U79"/>
  <c r="U98"/>
  <c r="U135" s="1"/>
  <c r="U84"/>
  <c r="U76"/>
  <c r="U113" s="1"/>
  <c r="U92"/>
  <c r="U129" s="1"/>
  <c r="T96"/>
  <c r="T133" s="1"/>
  <c r="T91"/>
  <c r="T128" s="1"/>
  <c r="T89"/>
  <c r="T83"/>
  <c r="T98"/>
  <c r="T135" s="1"/>
  <c r="T87"/>
  <c r="T124" s="1"/>
  <c r="H88"/>
  <c r="H91"/>
  <c r="H128" s="1"/>
  <c r="H81"/>
  <c r="H83"/>
  <c r="H85"/>
  <c r="H98"/>
  <c r="H78"/>
  <c r="H115" s="1"/>
  <c r="Q94"/>
  <c r="Q78"/>
  <c r="Q76"/>
  <c r="Q113" s="1"/>
  <c r="Q84"/>
  <c r="Q121" s="1"/>
  <c r="Q95"/>
  <c r="Q132" s="1"/>
  <c r="Q98"/>
  <c r="N89"/>
  <c r="N126" s="1"/>
  <c r="N86"/>
  <c r="N98"/>
  <c r="N135" s="1"/>
  <c r="N87"/>
  <c r="N93"/>
  <c r="N130" s="1"/>
  <c r="N99"/>
  <c r="N100"/>
  <c r="S94"/>
  <c r="S79"/>
  <c r="S116" s="1"/>
  <c r="S85"/>
  <c r="S122" s="1"/>
  <c r="S88"/>
  <c r="S125" s="1"/>
  <c r="S98"/>
  <c r="S99"/>
  <c r="S83"/>
  <c r="S120" s="1"/>
  <c r="L95"/>
  <c r="L132" s="1"/>
  <c r="L97"/>
  <c r="L83"/>
  <c r="L120" s="1"/>
  <c r="L79"/>
  <c r="L116" s="1"/>
  <c r="L90"/>
  <c r="L81"/>
  <c r="L99"/>
  <c r="L136" s="1"/>
  <c r="V127"/>
  <c r="V125"/>
  <c r="M95"/>
  <c r="M63"/>
  <c r="M83"/>
  <c r="M82"/>
  <c r="M119" s="1"/>
  <c r="M86"/>
  <c r="M123" s="1"/>
  <c r="M77"/>
  <c r="X96"/>
  <c r="X94"/>
  <c r="X131" s="1"/>
  <c r="X90"/>
  <c r="X127" s="1"/>
  <c r="X81"/>
  <c r="X83"/>
  <c r="X82"/>
  <c r="W63"/>
  <c r="W96"/>
  <c r="W76"/>
  <c r="W113" s="1"/>
  <c r="W88"/>
  <c r="W98"/>
  <c r="W135" s="1"/>
  <c r="W78"/>
  <c r="W115" s="1"/>
  <c r="I98"/>
  <c r="I80"/>
  <c r="I86"/>
  <c r="I123" s="1"/>
  <c r="I77"/>
  <c r="I87"/>
  <c r="I89"/>
  <c r="I126" s="1"/>
  <c r="I90"/>
  <c r="F90"/>
  <c r="F127" s="1"/>
  <c r="F88"/>
  <c r="F95"/>
  <c r="F132" s="1"/>
  <c r="F76"/>
  <c r="F113" s="1"/>
  <c r="F83"/>
  <c r="F89"/>
  <c r="F126" s="1"/>
  <c r="K24" i="20"/>
  <c r="AA59" i="9"/>
  <c r="Y59"/>
  <c r="AE24" i="20" s="1"/>
  <c r="K20"/>
  <c r="AA55" i="9"/>
  <c r="Y55"/>
  <c r="AE20" i="20" s="1"/>
  <c r="R21" i="17"/>
  <c r="E153" i="9"/>
  <c r="AA150"/>
  <c r="K4" i="20"/>
  <c r="E63" i="9"/>
  <c r="E87"/>
  <c r="E91"/>
  <c r="E88"/>
  <c r="E94"/>
  <c r="E100"/>
  <c r="E96"/>
  <c r="E86"/>
  <c r="E92"/>
  <c r="E84"/>
  <c r="E89"/>
  <c r="E97"/>
  <c r="E93"/>
  <c r="E130" s="1"/>
  <c r="E83"/>
  <c r="Y39"/>
  <c r="E79"/>
  <c r="E99"/>
  <c r="E77"/>
  <c r="E85"/>
  <c r="E122" s="1"/>
  <c r="AA39"/>
  <c r="E80"/>
  <c r="E78"/>
  <c r="E115" s="1"/>
  <c r="E90"/>
  <c r="E127" s="1"/>
  <c r="E82"/>
  <c r="E95"/>
  <c r="E132" s="1"/>
  <c r="E81"/>
  <c r="E76"/>
  <c r="E113" s="1"/>
  <c r="E98"/>
  <c r="E135" s="1"/>
  <c r="K22" i="20"/>
  <c r="Y57" i="9"/>
  <c r="AE22" i="20" s="1"/>
  <c r="AA57" i="9"/>
  <c r="K5" i="20"/>
  <c r="Y40" i="9"/>
  <c r="AE5" i="20" s="1"/>
  <c r="AA40" i="9"/>
  <c r="K18" i="20"/>
  <c r="Y53" i="9"/>
  <c r="AE18" i="20" s="1"/>
  <c r="AA53" i="9"/>
  <c r="K12" i="20"/>
  <c r="AA47" i="9"/>
  <c r="Y47"/>
  <c r="AE12" i="20" s="1"/>
  <c r="K26"/>
  <c r="Y61" i="9"/>
  <c r="AE26" i="20" s="1"/>
  <c r="AA61" i="9"/>
  <c r="K9" i="20"/>
  <c r="AA44" i="9"/>
  <c r="Y44"/>
  <c r="AE9" i="20" s="1"/>
  <c r="K14"/>
  <c r="Y49" i="9"/>
  <c r="AE14" i="20" s="1"/>
  <c r="AA49" i="9"/>
  <c r="K16" i="20"/>
  <c r="AA51" i="9"/>
  <c r="Y51"/>
  <c r="AE16" i="20" s="1"/>
  <c r="K8"/>
  <c r="Y43" i="9"/>
  <c r="AE8" i="20" s="1"/>
  <c r="AA43" i="9"/>
  <c r="N165" i="17" l="1"/>
  <c r="M164"/>
  <c r="M163"/>
  <c r="O151"/>
  <c r="O150"/>
  <c r="G164"/>
  <c r="G163"/>
  <c r="O157"/>
  <c r="O156"/>
  <c r="F151"/>
  <c r="F150"/>
  <c r="G149"/>
  <c r="G148"/>
  <c r="P151"/>
  <c r="I127" i="9"/>
  <c r="O127"/>
  <c r="T131"/>
  <c r="V135"/>
  <c r="R131"/>
  <c r="F192" i="17"/>
  <c r="G192" s="1"/>
  <c r="H192" s="1"/>
  <c r="I192" s="1"/>
  <c r="J192" s="1"/>
  <c r="K192" s="1"/>
  <c r="L192" s="1"/>
  <c r="M192" s="1"/>
  <c r="N192" s="1"/>
  <c r="O192" s="1"/>
  <c r="P192" s="1"/>
  <c r="Q192" s="1"/>
  <c r="N156"/>
  <c r="G159"/>
  <c r="K165"/>
  <c r="Q147"/>
  <c r="Q168" s="1"/>
  <c r="M162"/>
  <c r="M156"/>
  <c r="O164"/>
  <c r="L145"/>
  <c r="H152"/>
  <c r="P149"/>
  <c r="J144"/>
  <c r="J168" s="1"/>
  <c r="N158"/>
  <c r="Q165"/>
  <c r="P158"/>
  <c r="I164"/>
  <c r="L157"/>
  <c r="H157"/>
  <c r="F120" i="9"/>
  <c r="W133"/>
  <c r="X118"/>
  <c r="L127"/>
  <c r="Q131"/>
  <c r="U121"/>
  <c r="R119"/>
  <c r="O137"/>
  <c r="J134"/>
  <c r="Q118"/>
  <c r="P135"/>
  <c r="J118"/>
  <c r="I137"/>
  <c r="Q114"/>
  <c r="I130"/>
  <c r="W114"/>
  <c r="P118"/>
  <c r="W131"/>
  <c r="S124"/>
  <c r="K134"/>
  <c r="K132"/>
  <c r="K127"/>
  <c r="G122"/>
  <c r="N118"/>
  <c r="V121"/>
  <c r="N121"/>
  <c r="P120"/>
  <c r="V115"/>
  <c r="E163" i="17"/>
  <c r="E202" s="1"/>
  <c r="F202" s="1"/>
  <c r="G202" s="1"/>
  <c r="E165"/>
  <c r="E204" s="1"/>
  <c r="F204" s="1"/>
  <c r="G204" s="1"/>
  <c r="H204" s="1"/>
  <c r="I204" s="1"/>
  <c r="K163"/>
  <c r="K156"/>
  <c r="Q153"/>
  <c r="N159"/>
  <c r="H153"/>
  <c r="F165"/>
  <c r="M158"/>
  <c r="P163"/>
  <c r="J147"/>
  <c r="I147"/>
  <c r="G150"/>
  <c r="H146"/>
  <c r="H168" s="1"/>
  <c r="P160"/>
  <c r="J162"/>
  <c r="H147"/>
  <c r="M144"/>
  <c r="M168" s="1"/>
  <c r="P144"/>
  <c r="O158"/>
  <c r="O143"/>
  <c r="O168" s="1"/>
  <c r="O154"/>
  <c r="L153"/>
  <c r="Q160"/>
  <c r="H155"/>
  <c r="M165"/>
  <c r="P164"/>
  <c r="J152"/>
  <c r="I144"/>
  <c r="I145"/>
  <c r="I168" s="1"/>
  <c r="Q161"/>
  <c r="N163"/>
  <c r="H163"/>
  <c r="F154"/>
  <c r="P165"/>
  <c r="J156"/>
  <c r="I159"/>
  <c r="K144"/>
  <c r="Q156"/>
  <c r="N152"/>
  <c r="F159"/>
  <c r="M159"/>
  <c r="J153"/>
  <c r="G160"/>
  <c r="L144"/>
  <c r="G156"/>
  <c r="G195" s="1"/>
  <c r="H195" s="1"/>
  <c r="I195" s="1"/>
  <c r="J195" s="1"/>
  <c r="K195" s="1"/>
  <c r="L195" s="1"/>
  <c r="M195" s="1"/>
  <c r="N195" s="1"/>
  <c r="O195" s="1"/>
  <c r="P195" s="1"/>
  <c r="Q195" s="1"/>
  <c r="G155"/>
  <c r="G194" s="1"/>
  <c r="H194" s="1"/>
  <c r="I194" s="1"/>
  <c r="J194" s="1"/>
  <c r="K194" s="1"/>
  <c r="L194" s="1"/>
  <c r="M194" s="1"/>
  <c r="N194" s="1"/>
  <c r="O194" s="1"/>
  <c r="P194" s="1"/>
  <c r="Q194" s="1"/>
  <c r="O163"/>
  <c r="O162"/>
  <c r="N145"/>
  <c r="N168" s="1"/>
  <c r="N144"/>
  <c r="G152"/>
  <c r="G151"/>
  <c r="H196"/>
  <c r="I196" s="1"/>
  <c r="J196" s="1"/>
  <c r="K196" s="1"/>
  <c r="L196" s="1"/>
  <c r="H151"/>
  <c r="G145"/>
  <c r="K155"/>
  <c r="X117" i="9"/>
  <c r="R132"/>
  <c r="K161" i="17"/>
  <c r="Q146"/>
  <c r="M161"/>
  <c r="N166"/>
  <c r="F147"/>
  <c r="O149"/>
  <c r="O153"/>
  <c r="L152"/>
  <c r="M157"/>
  <c r="Q155"/>
  <c r="F153"/>
  <c r="K166"/>
  <c r="N146"/>
  <c r="F148"/>
  <c r="I135" i="9"/>
  <c r="V119"/>
  <c r="L118"/>
  <c r="Q135"/>
  <c r="H125"/>
  <c r="P125"/>
  <c r="O119"/>
  <c r="O125"/>
  <c r="N114"/>
  <c r="H134"/>
  <c r="X114"/>
  <c r="F130"/>
  <c r="I116"/>
  <c r="M130"/>
  <c r="L129"/>
  <c r="W119"/>
  <c r="W127"/>
  <c r="H127"/>
  <c r="K116"/>
  <c r="K122"/>
  <c r="K119"/>
  <c r="K125"/>
  <c r="G117"/>
  <c r="G128"/>
  <c r="V132"/>
  <c r="J136"/>
  <c r="J129"/>
  <c r="R123"/>
  <c r="V134"/>
  <c r="N128"/>
  <c r="E158" i="17"/>
  <c r="E197" s="1"/>
  <c r="F197" s="1"/>
  <c r="G197" s="1"/>
  <c r="H197" s="1"/>
  <c r="I197" s="1"/>
  <c r="J197" s="1"/>
  <c r="K197" s="1"/>
  <c r="L197" s="1"/>
  <c r="M197" s="1"/>
  <c r="N197" s="1"/>
  <c r="O197" s="1"/>
  <c r="P197" s="1"/>
  <c r="Q197" s="1"/>
  <c r="E145"/>
  <c r="E184" s="1"/>
  <c r="L161"/>
  <c r="Q151"/>
  <c r="Q149"/>
  <c r="N151"/>
  <c r="N147"/>
  <c r="H161"/>
  <c r="F166"/>
  <c r="P168"/>
  <c r="J151"/>
  <c r="J145"/>
  <c r="I166"/>
  <c r="J165"/>
  <c r="L162"/>
  <c r="Q159"/>
  <c r="P152"/>
  <c r="I162"/>
  <c r="G154"/>
  <c r="O145"/>
  <c r="O159"/>
  <c r="O146"/>
  <c r="O165"/>
  <c r="L148"/>
  <c r="K153"/>
  <c r="K159"/>
  <c r="K168" s="1"/>
  <c r="N148"/>
  <c r="F143"/>
  <c r="F168" s="1"/>
  <c r="M148"/>
  <c r="P161"/>
  <c r="I149"/>
  <c r="K151"/>
  <c r="F144"/>
  <c r="M154"/>
  <c r="P154"/>
  <c r="I155"/>
  <c r="G146"/>
  <c r="G168" s="1"/>
  <c r="L154"/>
  <c r="K149"/>
  <c r="N160"/>
  <c r="M149"/>
  <c r="P145"/>
  <c r="J148"/>
  <c r="I152"/>
  <c r="L143"/>
  <c r="L168" s="1"/>
  <c r="F145"/>
  <c r="E126" i="9"/>
  <c r="I117"/>
  <c r="N136"/>
  <c r="N123"/>
  <c r="H118"/>
  <c r="P126"/>
  <c r="P115"/>
  <c r="R121"/>
  <c r="J137"/>
  <c r="J130"/>
  <c r="O120"/>
  <c r="X132"/>
  <c r="F114"/>
  <c r="W121"/>
  <c r="M124"/>
  <c r="M115"/>
  <c r="S132"/>
  <c r="N120"/>
  <c r="U128"/>
  <c r="N127"/>
  <c r="H121"/>
  <c r="T123"/>
  <c r="U130"/>
  <c r="O126"/>
  <c r="K137"/>
  <c r="V123"/>
  <c r="V133"/>
  <c r="V114"/>
  <c r="V124"/>
  <c r="E144" i="17"/>
  <c r="E183" s="1"/>
  <c r="E148"/>
  <c r="E187" s="1"/>
  <c r="F187" s="1"/>
  <c r="G187" s="1"/>
  <c r="H187" s="1"/>
  <c r="I187" s="1"/>
  <c r="J187" s="1"/>
  <c r="K187" s="1"/>
  <c r="L187" s="1"/>
  <c r="M187" s="1"/>
  <c r="N187" s="1"/>
  <c r="O187" s="1"/>
  <c r="P187" s="1"/>
  <c r="Q187" s="1"/>
  <c r="E152"/>
  <c r="E191" s="1"/>
  <c r="F191" s="1"/>
  <c r="G191" s="1"/>
  <c r="H191" s="1"/>
  <c r="I191" s="1"/>
  <c r="J191" s="1"/>
  <c r="K191" s="1"/>
  <c r="L191" s="1"/>
  <c r="M191" s="1"/>
  <c r="N191" s="1"/>
  <c r="O191" s="1"/>
  <c r="P191" s="1"/>
  <c r="Q191" s="1"/>
  <c r="E154"/>
  <c r="E193" s="1"/>
  <c r="E162"/>
  <c r="E201" s="1"/>
  <c r="F201" s="1"/>
  <c r="G201" s="1"/>
  <c r="H201" s="1"/>
  <c r="E161"/>
  <c r="E200" s="1"/>
  <c r="F200" s="1"/>
  <c r="G200" s="1"/>
  <c r="H200" s="1"/>
  <c r="I200" s="1"/>
  <c r="J200" s="1"/>
  <c r="K200" s="1"/>
  <c r="L200" s="1"/>
  <c r="M200" s="1"/>
  <c r="N200" s="1"/>
  <c r="O200" s="1"/>
  <c r="P200" s="1"/>
  <c r="Q200" s="1"/>
  <c r="E181"/>
  <c r="L133" i="9"/>
  <c r="F116"/>
  <c r="L114"/>
  <c r="E146" i="17"/>
  <c r="E185" s="1"/>
  <c r="F185" s="1"/>
  <c r="E143"/>
  <c r="E182" s="1"/>
  <c r="E151"/>
  <c r="E190" s="1"/>
  <c r="F190" s="1"/>
  <c r="G190" s="1"/>
  <c r="H190" s="1"/>
  <c r="I190" s="1"/>
  <c r="J190" s="1"/>
  <c r="K190" s="1"/>
  <c r="L190" s="1"/>
  <c r="M190" s="1"/>
  <c r="N190" s="1"/>
  <c r="E150"/>
  <c r="E189" s="1"/>
  <c r="F189" s="1"/>
  <c r="G189" s="1"/>
  <c r="H189" s="1"/>
  <c r="I189" s="1"/>
  <c r="J189" s="1"/>
  <c r="K189" s="1"/>
  <c r="L189" s="1"/>
  <c r="M189" s="1"/>
  <c r="N189" s="1"/>
  <c r="O189" s="1"/>
  <c r="P189" s="1"/>
  <c r="Q189" s="1"/>
  <c r="E117" i="9"/>
  <c r="E136"/>
  <c r="I114"/>
  <c r="M114"/>
  <c r="L134"/>
  <c r="W124"/>
  <c r="L124"/>
  <c r="P121"/>
  <c r="F131"/>
  <c r="X116"/>
  <c r="V122"/>
  <c r="L115"/>
  <c r="M126"/>
  <c r="Q127"/>
  <c r="I120"/>
  <c r="O134"/>
  <c r="J125"/>
  <c r="K117"/>
  <c r="K135"/>
  <c r="K128"/>
  <c r="G124"/>
  <c r="G118"/>
  <c r="G120"/>
  <c r="U134"/>
  <c r="E159" i="17"/>
  <c r="E198" s="1"/>
  <c r="F198" s="1"/>
  <c r="G198" s="1"/>
  <c r="H198" s="1"/>
  <c r="I198" s="1"/>
  <c r="J198" s="1"/>
  <c r="E160"/>
  <c r="E199" s="1"/>
  <c r="F199" s="1"/>
  <c r="G199" s="1"/>
  <c r="H199" s="1"/>
  <c r="I199" s="1"/>
  <c r="J199" s="1"/>
  <c r="K199" s="1"/>
  <c r="L199" s="1"/>
  <c r="M199" s="1"/>
  <c r="N199" s="1"/>
  <c r="O199" s="1"/>
  <c r="P199" s="1"/>
  <c r="Q199" s="1"/>
  <c r="E147"/>
  <c r="E186" s="1"/>
  <c r="E164"/>
  <c r="E203" s="1"/>
  <c r="F203" s="1"/>
  <c r="G203" s="1"/>
  <c r="H203" s="1"/>
  <c r="I203" s="1"/>
  <c r="J203" s="1"/>
  <c r="K203" s="1"/>
  <c r="L203" s="1"/>
  <c r="M203" s="1"/>
  <c r="N203" s="1"/>
  <c r="O203" s="1"/>
  <c r="P203" s="1"/>
  <c r="Q203" s="1"/>
  <c r="G57"/>
  <c r="F60"/>
  <c r="X120" i="9"/>
  <c r="X133"/>
  <c r="M120"/>
  <c r="S136"/>
  <c r="H135"/>
  <c r="T120"/>
  <c r="U116"/>
  <c r="T122"/>
  <c r="P116"/>
  <c r="Q128"/>
  <c r="H132"/>
  <c r="F122"/>
  <c r="F134"/>
  <c r="I136"/>
  <c r="X123"/>
  <c r="L122"/>
  <c r="P137"/>
  <c r="F119"/>
  <c r="F117"/>
  <c r="I118"/>
  <c r="W128"/>
  <c r="X136"/>
  <c r="M135"/>
  <c r="M131"/>
  <c r="L137"/>
  <c r="L128"/>
  <c r="S127"/>
  <c r="T117"/>
  <c r="U125"/>
  <c r="R124"/>
  <c r="V120"/>
  <c r="V126"/>
  <c r="E166" i="17"/>
  <c r="E205" s="1"/>
  <c r="F205" s="1"/>
  <c r="G205" s="1"/>
  <c r="H205" s="1"/>
  <c r="I205" s="1"/>
  <c r="J205" s="1"/>
  <c r="K205" s="1"/>
  <c r="L205" s="1"/>
  <c r="M205" s="1"/>
  <c r="N205" s="1"/>
  <c r="O205" s="1"/>
  <c r="P205" s="1"/>
  <c r="Q205" s="1"/>
  <c r="E149"/>
  <c r="E188" s="1"/>
  <c r="F188" s="1"/>
  <c r="G188" s="1"/>
  <c r="H188" s="1"/>
  <c r="I188" s="1"/>
  <c r="J188" s="1"/>
  <c r="K188" s="1"/>
  <c r="L188" s="1"/>
  <c r="M188" s="1"/>
  <c r="N188" s="1"/>
  <c r="O188" s="1"/>
  <c r="P188" s="1"/>
  <c r="Q188" s="1"/>
  <c r="V29"/>
  <c r="V32" s="1"/>
  <c r="V43"/>
  <c r="V24"/>
  <c r="K131" i="9"/>
  <c r="K130"/>
  <c r="X24" i="17"/>
  <c r="X43"/>
  <c r="X29"/>
  <c r="X32" s="1"/>
  <c r="O118" i="9"/>
  <c r="O117"/>
  <c r="R30" i="17"/>
  <c r="R44"/>
  <c r="H119" i="9"/>
  <c r="I115"/>
  <c r="Q122"/>
  <c r="R137"/>
  <c r="X121"/>
  <c r="S133"/>
  <c r="T129"/>
  <c r="R134"/>
  <c r="W132"/>
  <c r="Q123"/>
  <c r="U122"/>
  <c r="O131"/>
  <c r="K129"/>
  <c r="E118"/>
  <c r="E120"/>
  <c r="AA153"/>
  <c r="F125"/>
  <c r="I124"/>
  <c r="X119"/>
  <c r="N137"/>
  <c r="H120"/>
  <c r="T126"/>
  <c r="U136"/>
  <c r="R116"/>
  <c r="Q125"/>
  <c r="T121"/>
  <c r="U115"/>
  <c r="P136"/>
  <c r="R114"/>
  <c r="J131"/>
  <c r="I119"/>
  <c r="W130"/>
  <c r="X130"/>
  <c r="M117"/>
  <c r="M118"/>
  <c r="L121"/>
  <c r="Q133"/>
  <c r="U137"/>
  <c r="R129"/>
  <c r="J114"/>
  <c r="F115"/>
  <c r="W123"/>
  <c r="M134"/>
  <c r="L123"/>
  <c r="Q120"/>
  <c r="T134"/>
  <c r="O121"/>
  <c r="W126"/>
  <c r="X124"/>
  <c r="L131"/>
  <c r="H136"/>
  <c r="P119"/>
  <c r="O122"/>
  <c r="F135"/>
  <c r="I129"/>
  <c r="X122"/>
  <c r="M129"/>
  <c r="L125"/>
  <c r="S123"/>
  <c r="S118"/>
  <c r="Q126"/>
  <c r="H117"/>
  <c r="H126"/>
  <c r="T127"/>
  <c r="U132"/>
  <c r="J132"/>
  <c r="Y132" s="1"/>
  <c r="K126"/>
  <c r="K118"/>
  <c r="K124"/>
  <c r="K121"/>
  <c r="K115"/>
  <c r="K133"/>
  <c r="G133"/>
  <c r="G127"/>
  <c r="G121"/>
  <c r="G114"/>
  <c r="U43" i="17"/>
  <c r="U29"/>
  <c r="U32" s="1"/>
  <c r="U24"/>
  <c r="T24"/>
  <c r="T43"/>
  <c r="T29"/>
  <c r="T32" s="1"/>
  <c r="S24"/>
  <c r="S43"/>
  <c r="S29"/>
  <c r="S32" s="1"/>
  <c r="S135" i="9"/>
  <c r="S134"/>
  <c r="E133"/>
  <c r="W125"/>
  <c r="M132"/>
  <c r="S131"/>
  <c r="N124"/>
  <c r="Q115"/>
  <c r="H122"/>
  <c r="Q136"/>
  <c r="Q116"/>
  <c r="R127"/>
  <c r="O136"/>
  <c r="F128"/>
  <c r="I131"/>
  <c r="W134"/>
  <c r="L117"/>
  <c r="N131"/>
  <c r="U119"/>
  <c r="W136"/>
  <c r="M116"/>
  <c r="M128"/>
  <c r="S121"/>
  <c r="S117"/>
  <c r="Q124"/>
  <c r="T125"/>
  <c r="I122"/>
  <c r="X134"/>
  <c r="H129"/>
  <c r="I128"/>
  <c r="W122"/>
  <c r="X135"/>
  <c r="X115"/>
  <c r="M137"/>
  <c r="Q129"/>
  <c r="Q134"/>
  <c r="T116"/>
  <c r="U124"/>
  <c r="P131"/>
  <c r="P127"/>
  <c r="R122"/>
  <c r="O116"/>
  <c r="K114"/>
  <c r="G119"/>
  <c r="G131"/>
  <c r="G136"/>
  <c r="W118"/>
  <c r="W117"/>
  <c r="W24" i="17"/>
  <c r="W43"/>
  <c r="W29"/>
  <c r="W32" s="1"/>
  <c r="P114" i="9"/>
  <c r="Q119"/>
  <c r="H116"/>
  <c r="U123"/>
  <c r="J119"/>
  <c r="F121"/>
  <c r="X128"/>
  <c r="S128"/>
  <c r="Q137"/>
  <c r="H123"/>
  <c r="T136"/>
  <c r="P123"/>
  <c r="O129"/>
  <c r="J122"/>
  <c r="W116"/>
  <c r="W129"/>
  <c r="X129"/>
  <c r="M136"/>
  <c r="L135"/>
  <c r="S137"/>
  <c r="U131"/>
  <c r="W137"/>
  <c r="M125"/>
  <c r="R118"/>
  <c r="F123"/>
  <c r="F133"/>
  <c r="X137"/>
  <c r="M133"/>
  <c r="M121"/>
  <c r="L119"/>
  <c r="S126"/>
  <c r="N125"/>
  <c r="Q117"/>
  <c r="Q130"/>
  <c r="U117"/>
  <c r="P117"/>
  <c r="R120"/>
  <c r="J135"/>
  <c r="J120"/>
  <c r="K136"/>
  <c r="K123"/>
  <c r="G126"/>
  <c r="G129"/>
  <c r="G130"/>
  <c r="G135"/>
  <c r="Y113"/>
  <c r="AE4" i="20"/>
  <c r="Y100" i="9"/>
  <c r="Y87"/>
  <c r="Y92"/>
  <c r="Y94"/>
  <c r="Y76"/>
  <c r="Y93"/>
  <c r="Y91"/>
  <c r="Y85"/>
  <c r="Y86"/>
  <c r="Y78"/>
  <c r="Y89"/>
  <c r="Y97"/>
  <c r="Y81"/>
  <c r="Y83"/>
  <c r="Y99"/>
  <c r="Y98"/>
  <c r="Y95"/>
  <c r="Y77"/>
  <c r="Y88"/>
  <c r="Y84"/>
  <c r="Y80"/>
  <c r="Y96"/>
  <c r="Y82"/>
  <c r="Y63"/>
  <c r="C10" s="1"/>
  <c r="Y90"/>
  <c r="Y79"/>
  <c r="E128"/>
  <c r="E119"/>
  <c r="Y119" s="1"/>
  <c r="B63"/>
  <c r="E116"/>
  <c r="E134"/>
  <c r="E123"/>
  <c r="Y123" s="1"/>
  <c r="E125"/>
  <c r="E64"/>
  <c r="F64" s="1"/>
  <c r="G64" s="1"/>
  <c r="H64" s="1"/>
  <c r="I64" s="1"/>
  <c r="J64" s="1"/>
  <c r="K64" s="1"/>
  <c r="L64" s="1"/>
  <c r="M64" s="1"/>
  <c r="N64" s="1"/>
  <c r="O64" s="1"/>
  <c r="P64" s="1"/>
  <c r="Q64" s="1"/>
  <c r="R64" s="1"/>
  <c r="S64" s="1"/>
  <c r="T64" s="1"/>
  <c r="U64" s="1"/>
  <c r="V64" s="1"/>
  <c r="W64" s="1"/>
  <c r="X64" s="1"/>
  <c r="R29" i="17"/>
  <c r="R32" s="1"/>
  <c r="R43"/>
  <c r="R24"/>
  <c r="E129" i="9"/>
  <c r="E131"/>
  <c r="Y131" s="1"/>
  <c r="E114"/>
  <c r="Y114" s="1"/>
  <c r="E121"/>
  <c r="E137"/>
  <c r="E124"/>
  <c r="Y124" s="1"/>
  <c r="M196" i="17" l="1"/>
  <c r="N196" s="1"/>
  <c r="O196" s="1"/>
  <c r="P196" s="1"/>
  <c r="Q196" s="1"/>
  <c r="J204"/>
  <c r="K204" s="1"/>
  <c r="L204" s="1"/>
  <c r="M204" s="1"/>
  <c r="N204" s="1"/>
  <c r="O204" s="1"/>
  <c r="P204" s="1"/>
  <c r="Q204" s="1"/>
  <c r="Y125" i="9"/>
  <c r="Y130"/>
  <c r="R139"/>
  <c r="T139"/>
  <c r="K198" i="17"/>
  <c r="L198" s="1"/>
  <c r="M198" s="1"/>
  <c r="N198" s="1"/>
  <c r="O198" s="1"/>
  <c r="P198" s="1"/>
  <c r="Q198" s="1"/>
  <c r="G185"/>
  <c r="H185" s="1"/>
  <c r="I185" s="1"/>
  <c r="J185" s="1"/>
  <c r="K185" s="1"/>
  <c r="L185" s="1"/>
  <c r="M185" s="1"/>
  <c r="N185" s="1"/>
  <c r="O185" s="1"/>
  <c r="P185" s="1"/>
  <c r="Q185" s="1"/>
  <c r="V139" i="9"/>
  <c r="F184" i="17"/>
  <c r="G184" s="1"/>
  <c r="H184" s="1"/>
  <c r="I184" s="1"/>
  <c r="J184" s="1"/>
  <c r="K184" s="1"/>
  <c r="L184" s="1"/>
  <c r="M184" s="1"/>
  <c r="N184" s="1"/>
  <c r="O184" s="1"/>
  <c r="P184" s="1"/>
  <c r="Q184" s="1"/>
  <c r="F182"/>
  <c r="G182" s="1"/>
  <c r="H182" s="1"/>
  <c r="I182" s="1"/>
  <c r="J182" s="1"/>
  <c r="K182" s="1"/>
  <c r="L182" s="1"/>
  <c r="M182" s="1"/>
  <c r="N182" s="1"/>
  <c r="O182" s="1"/>
  <c r="P182" s="1"/>
  <c r="Q182" s="1"/>
  <c r="F193"/>
  <c r="G193" s="1"/>
  <c r="H193" s="1"/>
  <c r="I193" s="1"/>
  <c r="J193" s="1"/>
  <c r="K193" s="1"/>
  <c r="L193" s="1"/>
  <c r="M193" s="1"/>
  <c r="N193" s="1"/>
  <c r="O193" s="1"/>
  <c r="P193" s="1"/>
  <c r="Q193" s="1"/>
  <c r="F186"/>
  <c r="G186" s="1"/>
  <c r="H186" s="1"/>
  <c r="I186" s="1"/>
  <c r="J186" s="1"/>
  <c r="K186" s="1"/>
  <c r="L186" s="1"/>
  <c r="M186" s="1"/>
  <c r="N186" s="1"/>
  <c r="O186" s="1"/>
  <c r="P186" s="1"/>
  <c r="Q186" s="1"/>
  <c r="O190"/>
  <c r="P190" s="1"/>
  <c r="Q190" s="1"/>
  <c r="I201"/>
  <c r="J201" s="1"/>
  <c r="K201" s="1"/>
  <c r="L201" s="1"/>
  <c r="M201" s="1"/>
  <c r="N201" s="1"/>
  <c r="O201" s="1"/>
  <c r="P201" s="1"/>
  <c r="Q201" s="1"/>
  <c r="F183"/>
  <c r="G183" s="1"/>
  <c r="H183" s="1"/>
  <c r="I183" s="1"/>
  <c r="J183" s="1"/>
  <c r="K183" s="1"/>
  <c r="L183" s="1"/>
  <c r="M183" s="1"/>
  <c r="N183" s="1"/>
  <c r="O183" s="1"/>
  <c r="P183" s="1"/>
  <c r="Q183" s="1"/>
  <c r="H202"/>
  <c r="I202" s="1"/>
  <c r="J202" s="1"/>
  <c r="K202" s="1"/>
  <c r="L202" s="1"/>
  <c r="M202" s="1"/>
  <c r="N202" s="1"/>
  <c r="O202" s="1"/>
  <c r="P202" s="1"/>
  <c r="Q202" s="1"/>
  <c r="F181"/>
  <c r="E207"/>
  <c r="W139" i="9"/>
  <c r="H139"/>
  <c r="Y136"/>
  <c r="O139"/>
  <c r="I139"/>
  <c r="U139"/>
  <c r="Y135"/>
  <c r="X139"/>
  <c r="J139"/>
  <c r="P139"/>
  <c r="Y115"/>
  <c r="F139"/>
  <c r="G60" i="17"/>
  <c r="H57"/>
  <c r="Q139" i="9"/>
  <c r="N139"/>
  <c r="G139"/>
  <c r="E168" i="17"/>
  <c r="E169" s="1"/>
  <c r="F169" s="1"/>
  <c r="G169" s="1"/>
  <c r="H169" s="1"/>
  <c r="I169" s="1"/>
  <c r="J169" s="1"/>
  <c r="K169" s="1"/>
  <c r="L169" s="1"/>
  <c r="M169" s="1"/>
  <c r="N169" s="1"/>
  <c r="O169" s="1"/>
  <c r="P169" s="1"/>
  <c r="Q169" s="1"/>
  <c r="Y137" i="9"/>
  <c r="Y129"/>
  <c r="AA63"/>
  <c r="Y134"/>
  <c r="Y128"/>
  <c r="Y126"/>
  <c r="M139"/>
  <c r="L139"/>
  <c r="Y122"/>
  <c r="Y127"/>
  <c r="Y117"/>
  <c r="S50" i="17"/>
  <c r="S46"/>
  <c r="V50"/>
  <c r="V46"/>
  <c r="Y133" i="9"/>
  <c r="Y118"/>
  <c r="K139"/>
  <c r="Y121"/>
  <c r="Y116"/>
  <c r="S139"/>
  <c r="T46" i="17"/>
  <c r="T50"/>
  <c r="U50"/>
  <c r="U46"/>
  <c r="X50"/>
  <c r="X46"/>
  <c r="Y120" i="9"/>
  <c r="W50" i="17"/>
  <c r="W46"/>
  <c r="Z44"/>
  <c r="R51"/>
  <c r="R50"/>
  <c r="Z43"/>
  <c r="R46"/>
  <c r="E139" i="9"/>
  <c r="E140" s="1"/>
  <c r="Y140" l="1"/>
  <c r="G181" i="17"/>
  <c r="F207"/>
  <c r="F140" i="9"/>
  <c r="G140" s="1"/>
  <c r="H140" s="1"/>
  <c r="I140" s="1"/>
  <c r="J140" s="1"/>
  <c r="K140" s="1"/>
  <c r="L140" s="1"/>
  <c r="M140" s="1"/>
  <c r="N140" s="1"/>
  <c r="O140" s="1"/>
  <c r="P140" s="1"/>
  <c r="Q140" s="1"/>
  <c r="R140" s="1"/>
  <c r="S140" s="1"/>
  <c r="T140" s="1"/>
  <c r="U140" s="1"/>
  <c r="V140" s="1"/>
  <c r="W140" s="1"/>
  <c r="X140" s="1"/>
  <c r="I57" i="17"/>
  <c r="H60"/>
  <c r="Z46"/>
  <c r="Y81"/>
  <c r="AE41" i="20" s="1"/>
  <c r="Y79" i="17"/>
  <c r="AE39" i="20" s="1"/>
  <c r="Y67" i="17"/>
  <c r="AE27" i="20" s="1"/>
  <c r="Y71" i="17"/>
  <c r="AE31" i="20" s="1"/>
  <c r="Y74" i="17"/>
  <c r="AE34" i="20" s="1"/>
  <c r="Y85" i="17"/>
  <c r="AE45" i="20" s="1"/>
  <c r="Y70" i="17"/>
  <c r="AE30" i="20" s="1"/>
  <c r="Y87" i="17"/>
  <c r="AE47" i="20" s="1"/>
  <c r="Y89" i="17"/>
  <c r="AE49" i="20" s="1"/>
  <c r="Y77" i="17"/>
  <c r="AE37" i="20" s="1"/>
  <c r="Y75" i="17"/>
  <c r="AE35" i="20" s="1"/>
  <c r="Y83" i="17"/>
  <c r="AE43" i="20" s="1"/>
  <c r="U86" i="17"/>
  <c r="AA46" i="20" s="1"/>
  <c r="U90" i="17"/>
  <c r="AA50" i="20" s="1"/>
  <c r="U76" i="17"/>
  <c r="AA36" i="20" s="1"/>
  <c r="V218" i="17"/>
  <c r="V221" s="1"/>
  <c r="U80"/>
  <c r="AA40" i="20" s="1"/>
  <c r="U72" i="17"/>
  <c r="AA32" i="20" s="1"/>
  <c r="U78" i="17"/>
  <c r="AA38" i="20" s="1"/>
  <c r="U84" i="17"/>
  <c r="AA44" i="20" s="1"/>
  <c r="U73" i="17"/>
  <c r="AA33" i="20" s="1"/>
  <c r="U69" i="17"/>
  <c r="AA29" i="20" s="1"/>
  <c r="U88" i="17"/>
  <c r="AA48" i="20" s="1"/>
  <c r="U82" i="17"/>
  <c r="AA42" i="20" s="1"/>
  <c r="U68" i="17"/>
  <c r="U53"/>
  <c r="S84"/>
  <c r="Y44" i="20" s="1"/>
  <c r="S72" i="17"/>
  <c r="Y32" i="20" s="1"/>
  <c r="S53" i="17"/>
  <c r="S68"/>
  <c r="T218"/>
  <c r="T221" s="1"/>
  <c r="S80"/>
  <c r="Y40" i="20" s="1"/>
  <c r="S78" i="17"/>
  <c r="Y38" i="20" s="1"/>
  <c r="S73" i="17"/>
  <c r="Y33" i="20" s="1"/>
  <c r="S90" i="17"/>
  <c r="Y50" i="20" s="1"/>
  <c r="S82" i="17"/>
  <c r="Y42" i="20" s="1"/>
  <c r="S69" i="17"/>
  <c r="Y29" i="20" s="1"/>
  <c r="S76" i="17"/>
  <c r="Y36" i="20" s="1"/>
  <c r="S86" i="17"/>
  <c r="Y46" i="20" s="1"/>
  <c r="S88" i="17"/>
  <c r="Y48" i="20" s="1"/>
  <c r="R87" i="17"/>
  <c r="R79"/>
  <c r="R70"/>
  <c r="R58"/>
  <c r="S58" s="1"/>
  <c r="T58" s="1"/>
  <c r="U58" s="1"/>
  <c r="V58" s="1"/>
  <c r="W58" s="1"/>
  <c r="X58" s="1"/>
  <c r="R67"/>
  <c r="S219"/>
  <c r="R75"/>
  <c r="R74"/>
  <c r="R85"/>
  <c r="R71"/>
  <c r="R77"/>
  <c r="R89"/>
  <c r="R81"/>
  <c r="R83"/>
  <c r="W88"/>
  <c r="AC48" i="20" s="1"/>
  <c r="W80" i="17"/>
  <c r="AC40" i="20" s="1"/>
  <c r="W72" i="17"/>
  <c r="AC32" i="20" s="1"/>
  <c r="X218" i="17"/>
  <c r="X221" s="1"/>
  <c r="W84"/>
  <c r="AC44" i="20" s="1"/>
  <c r="W78" i="17"/>
  <c r="AC38" i="20" s="1"/>
  <c r="W86" i="17"/>
  <c r="AC46" i="20" s="1"/>
  <c r="W90" i="17"/>
  <c r="AC50" i="20" s="1"/>
  <c r="W82" i="17"/>
  <c r="AC42" i="20" s="1"/>
  <c r="W68" i="17"/>
  <c r="W73"/>
  <c r="AC33" i="20" s="1"/>
  <c r="W69" i="17"/>
  <c r="AC29" i="20" s="1"/>
  <c r="W76" i="17"/>
  <c r="AC36" i="20" s="1"/>
  <c r="W53" i="17"/>
  <c r="X84"/>
  <c r="AD44" i="20" s="1"/>
  <c r="X73" i="17"/>
  <c r="AD33" i="20" s="1"/>
  <c r="X53" i="17"/>
  <c r="X88"/>
  <c r="AD48" i="20" s="1"/>
  <c r="X78" i="17"/>
  <c r="AD38" i="20" s="1"/>
  <c r="X72" i="17"/>
  <c r="AD32" i="20" s="1"/>
  <c r="X90" i="17"/>
  <c r="AD50" i="20" s="1"/>
  <c r="X82" i="17"/>
  <c r="AD42" i="20" s="1"/>
  <c r="X86" i="17"/>
  <c r="AD46" i="20" s="1"/>
  <c r="X68" i="17"/>
  <c r="Y218"/>
  <c r="Y221" s="1"/>
  <c r="X80"/>
  <c r="AD40" i="20" s="1"/>
  <c r="X69" i="17"/>
  <c r="AD29" i="20" s="1"/>
  <c r="X76" i="17"/>
  <c r="AD36" i="20" s="1"/>
  <c r="V86" i="17"/>
  <c r="AB46" i="20" s="1"/>
  <c r="V72" i="17"/>
  <c r="AB32" i="20" s="1"/>
  <c r="V69" i="17"/>
  <c r="AB29" i="20" s="1"/>
  <c r="V82" i="17"/>
  <c r="AB42" i="20" s="1"/>
  <c r="V68" i="17"/>
  <c r="W218"/>
  <c r="W221" s="1"/>
  <c r="V88"/>
  <c r="AB48" i="20" s="1"/>
  <c r="V80" i="17"/>
  <c r="AB40" i="20" s="1"/>
  <c r="V73" i="17"/>
  <c r="AB33" i="20" s="1"/>
  <c r="V90" i="17"/>
  <c r="AB50" i="20" s="1"/>
  <c r="V84" i="17"/>
  <c r="AB44" i="20" s="1"/>
  <c r="V78" i="17"/>
  <c r="AB38" i="20" s="1"/>
  <c r="V76" i="17"/>
  <c r="AB36" i="20" s="1"/>
  <c r="V53" i="17"/>
  <c r="T88"/>
  <c r="Z48" i="20" s="1"/>
  <c r="T80" i="17"/>
  <c r="Z40" i="20" s="1"/>
  <c r="T68" i="17"/>
  <c r="T53"/>
  <c r="T73"/>
  <c r="Z33" i="20" s="1"/>
  <c r="U218" i="17"/>
  <c r="U221" s="1"/>
  <c r="T84"/>
  <c r="Z44" i="20" s="1"/>
  <c r="T78" i="17"/>
  <c r="Z38" i="20" s="1"/>
  <c r="T72" i="17"/>
  <c r="Z32" i="20" s="1"/>
  <c r="T86" i="17"/>
  <c r="Z46" i="20" s="1"/>
  <c r="T69" i="17"/>
  <c r="Z29" i="20" s="1"/>
  <c r="T76" i="17"/>
  <c r="Z36" i="20" s="1"/>
  <c r="T90" i="17"/>
  <c r="Z50" i="20" s="1"/>
  <c r="T82" i="17"/>
  <c r="Z42" i="20" s="1"/>
  <c r="Y84" i="17"/>
  <c r="AE44" i="20" s="1"/>
  <c r="Y90" i="17"/>
  <c r="AE50" i="20" s="1"/>
  <c r="Y68" i="17"/>
  <c r="Y76"/>
  <c r="AE36" i="20" s="1"/>
  <c r="Y82" i="17"/>
  <c r="AE42" i="20" s="1"/>
  <c r="Y80" i="17"/>
  <c r="AE40" i="20" s="1"/>
  <c r="Y73" i="17"/>
  <c r="AE33" i="20" s="1"/>
  <c r="Y72" i="17"/>
  <c r="AE32" i="20" s="1"/>
  <c r="Y86" i="17"/>
  <c r="AE46" i="20" s="1"/>
  <c r="Y69" i="17"/>
  <c r="AE29" i="20" s="1"/>
  <c r="Y88" i="17"/>
  <c r="AE48" i="20" s="1"/>
  <c r="Y78" i="17"/>
  <c r="AE38" i="20" s="1"/>
  <c r="R90" i="17"/>
  <c r="R82"/>
  <c r="R76"/>
  <c r="R69"/>
  <c r="R84"/>
  <c r="R72"/>
  <c r="R78"/>
  <c r="R86"/>
  <c r="R73"/>
  <c r="R88"/>
  <c r="R80"/>
  <c r="R68"/>
  <c r="S218"/>
  <c r="R53"/>
  <c r="S221" l="1"/>
  <c r="G207"/>
  <c r="H181"/>
  <c r="J57"/>
  <c r="I60"/>
  <c r="X41" i="20"/>
  <c r="AA81" i="17"/>
  <c r="X45" i="20"/>
  <c r="AA85" i="17"/>
  <c r="X27" i="20"/>
  <c r="AA67" i="17"/>
  <c r="X47" i="20"/>
  <c r="AA87" i="17"/>
  <c r="AA28" i="20"/>
  <c r="U108" i="17"/>
  <c r="U106"/>
  <c r="U121"/>
  <c r="U126"/>
  <c r="U111"/>
  <c r="U124"/>
  <c r="U125"/>
  <c r="U162" s="1"/>
  <c r="U119"/>
  <c r="U128"/>
  <c r="U117"/>
  <c r="U112"/>
  <c r="U116"/>
  <c r="U120"/>
  <c r="U122"/>
  <c r="U115"/>
  <c r="U107"/>
  <c r="U144" s="1"/>
  <c r="U110"/>
  <c r="U105"/>
  <c r="U142" s="1"/>
  <c r="U127"/>
  <c r="U92"/>
  <c r="U109"/>
  <c r="U146" s="1"/>
  <c r="U113"/>
  <c r="U129"/>
  <c r="U166" s="1"/>
  <c r="U114"/>
  <c r="U123"/>
  <c r="U118"/>
  <c r="U155" s="1"/>
  <c r="AD28" i="20"/>
  <c r="X122" i="17"/>
  <c r="X114"/>
  <c r="X105"/>
  <c r="X142" s="1"/>
  <c r="X116"/>
  <c r="X115"/>
  <c r="X152" s="1"/>
  <c r="X113"/>
  <c r="X120"/>
  <c r="X111"/>
  <c r="X118"/>
  <c r="X92"/>
  <c r="X126"/>
  <c r="X125"/>
  <c r="X107"/>
  <c r="X108"/>
  <c r="X106"/>
  <c r="X143" s="1"/>
  <c r="X127"/>
  <c r="X164" s="1"/>
  <c r="X128"/>
  <c r="X109"/>
  <c r="X146" s="1"/>
  <c r="X110"/>
  <c r="X112"/>
  <c r="X149" s="1"/>
  <c r="X129"/>
  <c r="X166" s="1"/>
  <c r="X124"/>
  <c r="X121"/>
  <c r="X158" s="1"/>
  <c r="X117"/>
  <c r="X154" s="1"/>
  <c r="X119"/>
  <c r="X156" s="1"/>
  <c r="X123"/>
  <c r="X43" i="20"/>
  <c r="AA83" i="17"/>
  <c r="AA71"/>
  <c r="X31" i="20"/>
  <c r="AA79" i="17"/>
  <c r="X39" i="20"/>
  <c r="Y28"/>
  <c r="S123" i="17"/>
  <c r="S117"/>
  <c r="S121"/>
  <c r="S105"/>
  <c r="S142" s="1"/>
  <c r="S128"/>
  <c r="S118"/>
  <c r="S155" s="1"/>
  <c r="S110"/>
  <c r="S114"/>
  <c r="S107"/>
  <c r="S92"/>
  <c r="S125"/>
  <c r="S108"/>
  <c r="S145" s="1"/>
  <c r="S122"/>
  <c r="S127"/>
  <c r="S124"/>
  <c r="S161" s="1"/>
  <c r="S116"/>
  <c r="S153" s="1"/>
  <c r="S109"/>
  <c r="S113"/>
  <c r="S111"/>
  <c r="S148" s="1"/>
  <c r="S129"/>
  <c r="S166" s="1"/>
  <c r="S115"/>
  <c r="S120"/>
  <c r="S126"/>
  <c r="S163" s="1"/>
  <c r="S106"/>
  <c r="S143" s="1"/>
  <c r="S112"/>
  <c r="S119"/>
  <c r="S156" s="1"/>
  <c r="Z28" i="20"/>
  <c r="T123" i="17"/>
  <c r="T160" s="1"/>
  <c r="T124"/>
  <c r="T107"/>
  <c r="T118"/>
  <c r="T114"/>
  <c r="T151" s="1"/>
  <c r="T112"/>
  <c r="T109"/>
  <c r="T125"/>
  <c r="T162" s="1"/>
  <c r="T92"/>
  <c r="T126"/>
  <c r="T117"/>
  <c r="T129"/>
  <c r="T108"/>
  <c r="T145" s="1"/>
  <c r="T111"/>
  <c r="T128"/>
  <c r="T120"/>
  <c r="T105"/>
  <c r="T142" s="1"/>
  <c r="T119"/>
  <c r="T115"/>
  <c r="T116"/>
  <c r="T153" s="1"/>
  <c r="T110"/>
  <c r="T147" s="1"/>
  <c r="T122"/>
  <c r="T127"/>
  <c r="T121"/>
  <c r="T158" s="1"/>
  <c r="T106"/>
  <c r="T143" s="1"/>
  <c r="T113"/>
  <c r="T150" s="1"/>
  <c r="AB28" i="20"/>
  <c r="V112" i="17"/>
  <c r="V129"/>
  <c r="V166" s="1"/>
  <c r="V120"/>
  <c r="V115"/>
  <c r="V105"/>
  <c r="V142" s="1"/>
  <c r="V119"/>
  <c r="V128"/>
  <c r="V125"/>
  <c r="V121"/>
  <c r="V158" s="1"/>
  <c r="V116"/>
  <c r="V153" s="1"/>
  <c r="V122"/>
  <c r="V114"/>
  <c r="V118"/>
  <c r="V126"/>
  <c r="V163" s="1"/>
  <c r="V109"/>
  <c r="V123"/>
  <c r="V124"/>
  <c r="V161" s="1"/>
  <c r="V108"/>
  <c r="V145" s="1"/>
  <c r="V113"/>
  <c r="V127"/>
  <c r="V117"/>
  <c r="V110"/>
  <c r="V147" s="1"/>
  <c r="V107"/>
  <c r="V92"/>
  <c r="V106"/>
  <c r="V143" s="1"/>
  <c r="V111"/>
  <c r="V148" s="1"/>
  <c r="AA77"/>
  <c r="X37" i="20"/>
  <c r="X35"/>
  <c r="AA75" i="17"/>
  <c r="X30" i="20"/>
  <c r="AA70" i="17"/>
  <c r="AC28" i="20"/>
  <c r="W109" i="17"/>
  <c r="W122"/>
  <c r="W127"/>
  <c r="W123"/>
  <c r="W160" s="1"/>
  <c r="W106"/>
  <c r="W120"/>
  <c r="W126"/>
  <c r="W108"/>
  <c r="W111"/>
  <c r="W148" s="1"/>
  <c r="W121"/>
  <c r="W158" s="1"/>
  <c r="W105"/>
  <c r="W142" s="1"/>
  <c r="W113"/>
  <c r="W115"/>
  <c r="W107"/>
  <c r="W119"/>
  <c r="W118"/>
  <c r="W128"/>
  <c r="W165" s="1"/>
  <c r="W116"/>
  <c r="W114"/>
  <c r="W117"/>
  <c r="W154" s="1"/>
  <c r="W124"/>
  <c r="W110"/>
  <c r="W129"/>
  <c r="W125"/>
  <c r="W112"/>
  <c r="W149" s="1"/>
  <c r="W92"/>
  <c r="AA89"/>
  <c r="X49" i="20"/>
  <c r="AA74" i="17"/>
  <c r="X34" i="20"/>
  <c r="X33"/>
  <c r="AA73" i="17"/>
  <c r="X44" i="20"/>
  <c r="AA84" i="17"/>
  <c r="X50" i="20"/>
  <c r="AA90" i="17"/>
  <c r="X40" i="20"/>
  <c r="AA80" i="17"/>
  <c r="X36" i="20"/>
  <c r="AA76" i="17"/>
  <c r="X48" i="20"/>
  <c r="AA88" i="17"/>
  <c r="X32" i="20"/>
  <c r="AA72" i="17"/>
  <c r="X42" i="20"/>
  <c r="AA82" i="17"/>
  <c r="X38" i="20"/>
  <c r="AA78" i="17"/>
  <c r="AE28" i="20"/>
  <c r="Y113" i="17"/>
  <c r="Y116"/>
  <c r="Y107"/>
  <c r="Y115"/>
  <c r="Y112"/>
  <c r="Y110"/>
  <c r="Y121"/>
  <c r="Y118"/>
  <c r="Y108"/>
  <c r="Y129"/>
  <c r="Y92"/>
  <c r="Y111"/>
  <c r="Y124"/>
  <c r="Y109"/>
  <c r="Y119"/>
  <c r="Y120"/>
  <c r="Y157" s="1"/>
  <c r="Y125"/>
  <c r="Y105"/>
  <c r="Y142" s="1"/>
  <c r="Y123"/>
  <c r="Y117"/>
  <c r="Y114"/>
  <c r="Y151" s="1"/>
  <c r="Y106"/>
  <c r="Y143" s="1"/>
  <c r="Y122"/>
  <c r="Y159" s="1"/>
  <c r="Y127"/>
  <c r="Y126"/>
  <c r="Y163" s="1"/>
  <c r="Y128"/>
  <c r="X28" i="20"/>
  <c r="AA68" i="17"/>
  <c r="R110"/>
  <c r="R114"/>
  <c r="R111"/>
  <c r="R107"/>
  <c r="R92"/>
  <c r="R115"/>
  <c r="R152" s="1"/>
  <c r="R191" s="1"/>
  <c r="R129"/>
  <c r="R109"/>
  <c r="R125"/>
  <c r="R126"/>
  <c r="R108"/>
  <c r="R122"/>
  <c r="R105"/>
  <c r="R142" s="1"/>
  <c r="R112"/>
  <c r="R128"/>
  <c r="R123"/>
  <c r="R160" s="1"/>
  <c r="R199" s="1"/>
  <c r="R124"/>
  <c r="R119"/>
  <c r="R118"/>
  <c r="R106"/>
  <c r="R117"/>
  <c r="R116"/>
  <c r="R153" s="1"/>
  <c r="R192" s="1"/>
  <c r="R113"/>
  <c r="R120"/>
  <c r="R127"/>
  <c r="R121"/>
  <c r="X46" i="20"/>
  <c r="AA86" i="17"/>
  <c r="X29" i="20"/>
  <c r="AA69" i="17"/>
  <c r="W145" l="1"/>
  <c r="T157"/>
  <c r="S147"/>
  <c r="X162"/>
  <c r="Y145"/>
  <c r="S192"/>
  <c r="R156"/>
  <c r="R195" s="1"/>
  <c r="S195" s="1"/>
  <c r="R149"/>
  <c r="R188" s="1"/>
  <c r="R151"/>
  <c r="R190" s="1"/>
  <c r="S190" s="1"/>
  <c r="T190" s="1"/>
  <c r="U190" s="1"/>
  <c r="V190" s="1"/>
  <c r="V160"/>
  <c r="V151"/>
  <c r="T164"/>
  <c r="S150"/>
  <c r="X147"/>
  <c r="H207"/>
  <c r="I181"/>
  <c r="X160"/>
  <c r="J60"/>
  <c r="K57"/>
  <c r="W166"/>
  <c r="V164"/>
  <c r="T152"/>
  <c r="W162"/>
  <c r="W150"/>
  <c r="V154"/>
  <c r="V149"/>
  <c r="T166"/>
  <c r="T155"/>
  <c r="S162"/>
  <c r="S158"/>
  <c r="X148"/>
  <c r="X153"/>
  <c r="U164"/>
  <c r="U152"/>
  <c r="U149"/>
  <c r="U158"/>
  <c r="T192"/>
  <c r="Y165"/>
  <c r="W161"/>
  <c r="W152"/>
  <c r="W143"/>
  <c r="W146"/>
  <c r="V156"/>
  <c r="S151"/>
  <c r="X165"/>
  <c r="X144"/>
  <c r="X155"/>
  <c r="X159"/>
  <c r="U151"/>
  <c r="U153"/>
  <c r="U156"/>
  <c r="U163"/>
  <c r="Y162"/>
  <c r="W155"/>
  <c r="V155"/>
  <c r="R158"/>
  <c r="R197" s="1"/>
  <c r="R163"/>
  <c r="R202" s="1"/>
  <c r="S202" s="1"/>
  <c r="Y146"/>
  <c r="Y153"/>
  <c r="R155"/>
  <c r="R194" s="1"/>
  <c r="S194" s="1"/>
  <c r="R165"/>
  <c r="R204" s="1"/>
  <c r="S204" s="1"/>
  <c r="R145"/>
  <c r="R184" s="1"/>
  <c r="S184" s="1"/>
  <c r="T184" s="1"/>
  <c r="R148"/>
  <c r="R187" s="1"/>
  <c r="S187" s="1"/>
  <c r="Y156"/>
  <c r="W147"/>
  <c r="W153"/>
  <c r="W144"/>
  <c r="W157"/>
  <c r="W159"/>
  <c r="V144"/>
  <c r="V150"/>
  <c r="V146"/>
  <c r="V159"/>
  <c r="V165"/>
  <c r="V157"/>
  <c r="T159"/>
  <c r="T156"/>
  <c r="T195" s="1"/>
  <c r="U195" s="1"/>
  <c r="V195" s="1"/>
  <c r="W195" s="1"/>
  <c r="X195" s="1"/>
  <c r="T148"/>
  <c r="T163"/>
  <c r="T149"/>
  <c r="T161"/>
  <c r="S149"/>
  <c r="S188" s="1"/>
  <c r="S152"/>
  <c r="S191" s="1"/>
  <c r="S146"/>
  <c r="S159"/>
  <c r="S144"/>
  <c r="S165"/>
  <c r="S160"/>
  <c r="X161"/>
  <c r="X145"/>
  <c r="X150"/>
  <c r="X151"/>
  <c r="U160"/>
  <c r="U147"/>
  <c r="U157"/>
  <c r="U165"/>
  <c r="U148"/>
  <c r="U145"/>
  <c r="R143"/>
  <c r="R182" s="1"/>
  <c r="S182" s="1"/>
  <c r="T182" s="1"/>
  <c r="S199"/>
  <c r="T199" s="1"/>
  <c r="Y164"/>
  <c r="W151"/>
  <c r="W156"/>
  <c r="W163"/>
  <c r="W164"/>
  <c r="V162"/>
  <c r="V152"/>
  <c r="T165"/>
  <c r="T154"/>
  <c r="T146"/>
  <c r="T144"/>
  <c r="S157"/>
  <c r="S164"/>
  <c r="S154"/>
  <c r="X163"/>
  <c r="X157"/>
  <c r="U150"/>
  <c r="U159"/>
  <c r="U154"/>
  <c r="U161"/>
  <c r="U143"/>
  <c r="Y166"/>
  <c r="R157"/>
  <c r="R196" s="1"/>
  <c r="R159"/>
  <c r="R198" s="1"/>
  <c r="R146"/>
  <c r="R185" s="1"/>
  <c r="R144"/>
  <c r="R183" s="1"/>
  <c r="B92"/>
  <c r="Y154"/>
  <c r="Y148"/>
  <c r="Y155"/>
  <c r="Y152"/>
  <c r="C10"/>
  <c r="AA92"/>
  <c r="R93"/>
  <c r="S93" s="1"/>
  <c r="T93" s="1"/>
  <c r="U93" s="1"/>
  <c r="V93" s="1"/>
  <c r="W93" s="1"/>
  <c r="X93" s="1"/>
  <c r="Y147"/>
  <c r="R164"/>
  <c r="R203" s="1"/>
  <c r="R154"/>
  <c r="R193" s="1"/>
  <c r="R161"/>
  <c r="R200" s="1"/>
  <c r="S200" s="1"/>
  <c r="R162"/>
  <c r="R201" s="1"/>
  <c r="R147"/>
  <c r="R186" s="1"/>
  <c r="S186" s="1"/>
  <c r="T186" s="1"/>
  <c r="Y161"/>
  <c r="Y149"/>
  <c r="Y150"/>
  <c r="R150"/>
  <c r="R189" s="1"/>
  <c r="S189" s="1"/>
  <c r="T189" s="1"/>
  <c r="R166"/>
  <c r="R205" s="1"/>
  <c r="S205" s="1"/>
  <c r="Y160"/>
  <c r="Y158"/>
  <c r="Y144"/>
  <c r="S185" l="1"/>
  <c r="T185" s="1"/>
  <c r="U185" s="1"/>
  <c r="V185" s="1"/>
  <c r="W185" s="1"/>
  <c r="X185" s="1"/>
  <c r="U168"/>
  <c r="T188"/>
  <c r="S201"/>
  <c r="T201" s="1"/>
  <c r="U201" s="1"/>
  <c r="V201" s="1"/>
  <c r="S196"/>
  <c r="T196" s="1"/>
  <c r="U196" s="1"/>
  <c r="V196" s="1"/>
  <c r="W196" s="1"/>
  <c r="X196" s="1"/>
  <c r="T191"/>
  <c r="U191" s="1"/>
  <c r="S197"/>
  <c r="T197" s="1"/>
  <c r="U197" s="1"/>
  <c r="V197" s="1"/>
  <c r="W197" s="1"/>
  <c r="X197" s="1"/>
  <c r="L57"/>
  <c r="K60"/>
  <c r="I207"/>
  <c r="J181"/>
  <c r="W168"/>
  <c r="S168"/>
  <c r="V168"/>
  <c r="U186"/>
  <c r="V186" s="1"/>
  <c r="W186" s="1"/>
  <c r="X186" s="1"/>
  <c r="V191"/>
  <c r="W191" s="1"/>
  <c r="X191" s="1"/>
  <c r="W201"/>
  <c r="X201" s="1"/>
  <c r="X168"/>
  <c r="U188"/>
  <c r="V188" s="1"/>
  <c r="W188" s="1"/>
  <c r="X188" s="1"/>
  <c r="T168"/>
  <c r="U189"/>
  <c r="V189" s="1"/>
  <c r="W189" s="1"/>
  <c r="X189" s="1"/>
  <c r="S203"/>
  <c r="T203" s="1"/>
  <c r="U203" s="1"/>
  <c r="V203" s="1"/>
  <c r="W203" s="1"/>
  <c r="X203" s="1"/>
  <c r="T205"/>
  <c r="U205" s="1"/>
  <c r="V205" s="1"/>
  <c r="W205" s="1"/>
  <c r="X205" s="1"/>
  <c r="S193"/>
  <c r="T194"/>
  <c r="U194" s="1"/>
  <c r="V194" s="1"/>
  <c r="U184"/>
  <c r="V184" s="1"/>
  <c r="W184" s="1"/>
  <c r="X184" s="1"/>
  <c r="U192"/>
  <c r="V192" s="1"/>
  <c r="W192" s="1"/>
  <c r="X192" s="1"/>
  <c r="T193"/>
  <c r="U193" s="1"/>
  <c r="V193" s="1"/>
  <c r="W193" s="1"/>
  <c r="X193" s="1"/>
  <c r="S198"/>
  <c r="T198" s="1"/>
  <c r="U198" s="1"/>
  <c r="V198" s="1"/>
  <c r="W198" s="1"/>
  <c r="X198" s="1"/>
  <c r="U182"/>
  <c r="V182" s="1"/>
  <c r="W182" s="1"/>
  <c r="X182" s="1"/>
  <c r="T187"/>
  <c r="U187" s="1"/>
  <c r="V187" s="1"/>
  <c r="W187" s="1"/>
  <c r="X187" s="1"/>
  <c r="T202"/>
  <c r="U202" s="1"/>
  <c r="V202" s="1"/>
  <c r="W202" s="1"/>
  <c r="X202" s="1"/>
  <c r="T200"/>
  <c r="U200" s="1"/>
  <c r="V200" s="1"/>
  <c r="W200" s="1"/>
  <c r="X200" s="1"/>
  <c r="U199"/>
  <c r="V199" s="1"/>
  <c r="W199" s="1"/>
  <c r="X199" s="1"/>
  <c r="W194"/>
  <c r="X194" s="1"/>
  <c r="Y169"/>
  <c r="S183"/>
  <c r="T183" s="1"/>
  <c r="U183" s="1"/>
  <c r="V183" s="1"/>
  <c r="W183" s="1"/>
  <c r="X183" s="1"/>
  <c r="T204"/>
  <c r="U204" s="1"/>
  <c r="V204" s="1"/>
  <c r="W204" s="1"/>
  <c r="X204" s="1"/>
  <c r="W190"/>
  <c r="X190" s="1"/>
  <c r="R168"/>
  <c r="R169" s="1"/>
  <c r="S169" s="1"/>
  <c r="T169" s="1"/>
  <c r="U169" s="1"/>
  <c r="V169" s="1"/>
  <c r="W169" s="1"/>
  <c r="X169" s="1"/>
  <c r="M57" l="1"/>
  <c r="L60"/>
  <c r="J207"/>
  <c r="K181"/>
  <c r="N57" l="1"/>
  <c r="M60"/>
  <c r="K207"/>
  <c r="L181"/>
  <c r="O57" l="1"/>
  <c r="N60"/>
  <c r="L207"/>
  <c r="M181"/>
  <c r="P57" l="1"/>
  <c r="O60"/>
  <c r="M207"/>
  <c r="N181"/>
  <c r="P60" l="1"/>
  <c r="Q57"/>
  <c r="N207"/>
  <c r="O181"/>
  <c r="Q60" l="1"/>
  <c r="R57"/>
  <c r="P181"/>
  <c r="O207"/>
  <c r="S57" l="1"/>
  <c r="R60"/>
  <c r="P207"/>
  <c r="Q181"/>
  <c r="T57" l="1"/>
  <c r="S60"/>
  <c r="Q207"/>
  <c r="R181"/>
  <c r="T60" l="1"/>
  <c r="U57"/>
  <c r="R207"/>
  <c r="S181"/>
  <c r="V57" l="1"/>
  <c r="U60"/>
  <c r="T181"/>
  <c r="S207"/>
  <c r="W57" l="1"/>
  <c r="V60"/>
  <c r="T207"/>
  <c r="U181"/>
  <c r="W60" l="1"/>
  <c r="X57"/>
  <c r="X60" s="1"/>
  <c r="U207"/>
  <c r="V181"/>
  <c r="W181" l="1"/>
  <c r="V207"/>
  <c r="X181" l="1"/>
  <c r="X207" s="1"/>
  <c r="W207"/>
</calcChain>
</file>

<file path=xl/comments1.xml><?xml version="1.0" encoding="utf-8"?>
<comments xmlns="http://schemas.openxmlformats.org/spreadsheetml/2006/main">
  <authors>
    <author>Tina Jayaweera</author>
  </authors>
  <commentList>
    <comment ref="B20" authorId="0">
      <text>
        <r>
          <rPr>
            <b/>
            <sz val="9"/>
            <color indexed="81"/>
            <rFont val="Tahoma"/>
            <family val="2"/>
          </rPr>
          <t>Tina Jayaweera:</t>
        </r>
        <r>
          <rPr>
            <sz val="9"/>
            <color indexed="81"/>
            <rFont val="Tahoma"/>
            <family val="2"/>
          </rPr>
          <t xml:space="preserve">
% Electric water heaters</t>
        </r>
      </text>
    </comment>
    <comment ref="D38"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39"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0"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1"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2"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3"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4"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5"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6"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7"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8"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49" authorId="0">
      <text>
        <r>
          <rPr>
            <b/>
            <sz val="9"/>
            <color indexed="81"/>
            <rFont val="Tahoma"/>
            <family val="2"/>
          </rPr>
          <t>Tina Jayaweera:</t>
        </r>
        <r>
          <rPr>
            <sz val="9"/>
            <color indexed="81"/>
            <rFont val="Tahoma"/>
            <family val="2"/>
          </rPr>
          <t xml:space="preserve">
only 88% feasible, as assume fed standard will capture current &gt;55gal tanks</t>
        </r>
      </text>
    </comment>
  </commentList>
</comments>
</file>

<file path=xl/comments2.xml><?xml version="1.0" encoding="utf-8"?>
<comments xmlns="http://schemas.openxmlformats.org/spreadsheetml/2006/main">
  <authors>
    <author>Tina Jayaweera</author>
  </authors>
  <commentList>
    <comment ref="D67"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68"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69"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70"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71"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72"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73"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74"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75"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76"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77" authorId="0">
      <text>
        <r>
          <rPr>
            <b/>
            <sz val="9"/>
            <color indexed="81"/>
            <rFont val="Tahoma"/>
            <family val="2"/>
          </rPr>
          <t>Tina Jayaweera:</t>
        </r>
        <r>
          <rPr>
            <sz val="9"/>
            <color indexed="81"/>
            <rFont val="Tahoma"/>
            <family val="2"/>
          </rPr>
          <t xml:space="preserve">
only 88% feasible, as assume fed standard will capture current &gt;55gal tanks</t>
        </r>
      </text>
    </comment>
    <comment ref="D78" authorId="0">
      <text>
        <r>
          <rPr>
            <b/>
            <sz val="9"/>
            <color indexed="81"/>
            <rFont val="Tahoma"/>
            <family val="2"/>
          </rPr>
          <t>Tina Jayaweera:</t>
        </r>
        <r>
          <rPr>
            <sz val="9"/>
            <color indexed="81"/>
            <rFont val="Tahoma"/>
            <family val="2"/>
          </rPr>
          <t xml:space="preserve">
only 88% feasible, as assume fed standard will capture current &gt;55gal tanks</t>
        </r>
      </text>
    </comment>
  </commentList>
</comments>
</file>

<file path=xl/comments3.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10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0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0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0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18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8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8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8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Tina Jayaweera</author>
  </authors>
  <commentList>
    <comment ref="K4"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4"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5"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5"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5"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5" authorId="0">
      <text>
        <r>
          <rPr>
            <b/>
            <sz val="8"/>
            <color indexed="81"/>
            <rFont val="Tahoma"/>
            <family val="2"/>
          </rPr>
          <t xml:space="preserve"> :ProCost</t>
        </r>
        <r>
          <rPr>
            <sz val="8"/>
            <color indexed="81"/>
            <rFont val="Tahoma"/>
            <family val="2"/>
          </rPr>
          <t xml:space="preserve">
Physical life of the measure in years.  Must be &gt;=1.</t>
        </r>
      </text>
    </comment>
    <comment ref="G5"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5"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5"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5"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5"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5"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5"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5"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5"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5" authorId="0">
      <text>
        <r>
          <rPr>
            <b/>
            <sz val="8"/>
            <color indexed="81"/>
            <rFont val="Tahoma"/>
            <family val="2"/>
          </rPr>
          <t xml:space="preserve"> :</t>
        </r>
        <r>
          <rPr>
            <sz val="8"/>
            <color indexed="81"/>
            <rFont val="Tahoma"/>
            <family val="2"/>
          </rPr>
          <t xml:space="preserve">
Annual gas savings, or increases, in therms.</t>
        </r>
      </text>
    </comment>
    <comment ref="R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K24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24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24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24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24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246" authorId="0">
      <text>
        <r>
          <rPr>
            <b/>
            <sz val="8"/>
            <color indexed="81"/>
            <rFont val="Tahoma"/>
            <family val="2"/>
          </rPr>
          <t xml:space="preserve"> :ProCost</t>
        </r>
        <r>
          <rPr>
            <sz val="8"/>
            <color indexed="81"/>
            <rFont val="Tahoma"/>
            <family val="2"/>
          </rPr>
          <t xml:space="preserve">
Physical life of the measure in years.  Must be &gt;=1.</t>
        </r>
      </text>
    </comment>
    <comment ref="G24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24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24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24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24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24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24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24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24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24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246" authorId="0">
      <text>
        <r>
          <rPr>
            <b/>
            <sz val="8"/>
            <color indexed="81"/>
            <rFont val="Tahoma"/>
            <family val="2"/>
          </rPr>
          <t xml:space="preserve"> :</t>
        </r>
        <r>
          <rPr>
            <sz val="8"/>
            <color indexed="81"/>
            <rFont val="Tahoma"/>
            <family val="2"/>
          </rPr>
          <t xml:space="preserve">
Annual gas savings, or increases, in therms.</t>
        </r>
      </text>
    </comment>
    <comment ref="R24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A327" authorId="1">
      <text>
        <r>
          <rPr>
            <b/>
            <sz val="9"/>
            <color indexed="81"/>
            <rFont val="Tahoma"/>
            <family val="2"/>
          </rPr>
          <t>Tina Jayaweera:</t>
        </r>
        <r>
          <rPr>
            <sz val="9"/>
            <color indexed="81"/>
            <rFont val="Tahoma"/>
            <family val="2"/>
          </rPr>
          <t xml:space="preserve">
SF only, Split between garage/basement nearly equal, take avg</t>
        </r>
      </text>
    </comment>
    <comment ref="K328"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328"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329"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329"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329"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329" authorId="0">
      <text>
        <r>
          <rPr>
            <b/>
            <sz val="8"/>
            <color indexed="81"/>
            <rFont val="Tahoma"/>
            <family val="2"/>
          </rPr>
          <t xml:space="preserve"> :ProCost</t>
        </r>
        <r>
          <rPr>
            <sz val="8"/>
            <color indexed="81"/>
            <rFont val="Tahoma"/>
            <family val="2"/>
          </rPr>
          <t xml:space="preserve">
Physical life of the measure in years.  Must be &gt;=1.</t>
        </r>
      </text>
    </comment>
    <comment ref="G329"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329"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32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329"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329"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329"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329"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329"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329"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329"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329" authorId="0">
      <text>
        <r>
          <rPr>
            <b/>
            <sz val="8"/>
            <color indexed="81"/>
            <rFont val="Tahoma"/>
            <family val="2"/>
          </rPr>
          <t xml:space="preserve"> :</t>
        </r>
        <r>
          <rPr>
            <sz val="8"/>
            <color indexed="81"/>
            <rFont val="Tahoma"/>
            <family val="2"/>
          </rPr>
          <t xml:space="preserve">
Annual gas savings, or increases, in therms.</t>
        </r>
      </text>
    </comment>
    <comment ref="R32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 xml:space="preserve"> </author>
  </authors>
  <commentList>
    <comment ref="J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 authorId="0">
      <text>
        <r>
          <rPr>
            <b/>
            <sz val="8"/>
            <color indexed="81"/>
            <rFont val="Tahoma"/>
            <family val="2"/>
          </rPr>
          <t xml:space="preserve"> :ProCost</t>
        </r>
        <r>
          <rPr>
            <sz val="8"/>
            <color indexed="81"/>
            <rFont val="Tahoma"/>
            <family val="2"/>
          </rPr>
          <t xml:space="preserve">
Physical life of the measure in years.  Must be &gt;=1.</t>
        </r>
      </text>
    </comment>
    <comment ref="F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 authorId="0">
      <text>
        <r>
          <rPr>
            <b/>
            <sz val="8"/>
            <color indexed="81"/>
            <rFont val="Tahoma"/>
            <family val="2"/>
          </rPr>
          <t xml:space="preserve"> :</t>
        </r>
        <r>
          <rPr>
            <sz val="8"/>
            <color indexed="81"/>
            <rFont val="Tahoma"/>
            <family val="2"/>
          </rPr>
          <t xml:space="preserve">
Annual gas savings, or increases, in therms.</t>
        </r>
      </text>
    </comment>
    <comment ref="Q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14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14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14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14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14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147" authorId="0">
      <text>
        <r>
          <rPr>
            <b/>
            <sz val="8"/>
            <color indexed="81"/>
            <rFont val="Tahoma"/>
            <family val="2"/>
          </rPr>
          <t xml:space="preserve"> :ProCost</t>
        </r>
        <r>
          <rPr>
            <sz val="8"/>
            <color indexed="81"/>
            <rFont val="Tahoma"/>
            <family val="2"/>
          </rPr>
          <t xml:space="preserve">
Physical life of the measure in years.  Must be &gt;=1.</t>
        </r>
      </text>
    </comment>
    <comment ref="F14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14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14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14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14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14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14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14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14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14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147" authorId="0">
      <text>
        <r>
          <rPr>
            <b/>
            <sz val="8"/>
            <color indexed="81"/>
            <rFont val="Tahoma"/>
            <family val="2"/>
          </rPr>
          <t xml:space="preserve"> :</t>
        </r>
        <r>
          <rPr>
            <sz val="8"/>
            <color indexed="81"/>
            <rFont val="Tahoma"/>
            <family val="2"/>
          </rPr>
          <t xml:space="preserve">
Annual gas savings, or increases, in therms.</t>
        </r>
      </text>
    </comment>
    <comment ref="Q14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6.xml><?xml version="1.0" encoding="utf-8"?>
<comments xmlns="http://schemas.openxmlformats.org/spreadsheetml/2006/main">
  <authors>
    <author xml:space="preserve"> </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sharedStrings.xml><?xml version="1.0" encoding="utf-8"?>
<sst xmlns="http://schemas.openxmlformats.org/spreadsheetml/2006/main" count="2914" uniqueCount="589">
  <si>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</si>
  <si>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</si>
  <si>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</si>
  <si>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</si>
  <si>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</si>
  <si>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</si>
  <si>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</si>
  <si>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</si>
  <si>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</si>
  <si>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</si>
  <si>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</si>
  <si>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</si>
  <si>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</si>
  <si>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</si>
  <si>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</si>
  <si>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</si>
  <si>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</si>
  <si>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</si>
  <si>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</si>
  <si>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</si>
  <si>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</si>
  <si>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</si>
  <si>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</si>
  <si>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</si>
  <si>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</si>
  <si>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</si>
  <si>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</si>
  <si>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</si>
  <si>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</si>
  <si>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</si>
  <si>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</si>
  <si>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</si>
  <si>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</si>
  <si>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</si>
  <si>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</si>
  <si>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</si>
  <si>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</si>
  <si>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</si>
  <si>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</si>
  <si>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</si>
  <si>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</si>
  <si>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</si>
  <si>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</si>
  <si>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</si>
  <si>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</si>
  <si>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</si>
  <si>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</si>
  <si>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Concatenate</t>
  </si>
  <si>
    <t>Segment</t>
  </si>
  <si>
    <t>Vintage</t>
  </si>
  <si>
    <t>Single Family</t>
  </si>
  <si>
    <t>Multifamily - Low Rise</t>
  </si>
  <si>
    <t>Multifamily - High Rise</t>
  </si>
  <si>
    <t>Manufactured</t>
  </si>
  <si>
    <t>Measure  Index</t>
  </si>
  <si>
    <t>ResDHW</t>
  </si>
  <si>
    <t>New</t>
  </si>
  <si>
    <t>Methodology</t>
  </si>
  <si>
    <t>Measure Bundle</t>
  </si>
  <si>
    <t>Report Year</t>
  </si>
  <si>
    <t>REG_TOTAL_STOCK_# HOMES</t>
  </si>
  <si>
    <t>Total Regional Stock</t>
  </si>
  <si>
    <t>Applicability</t>
  </si>
  <si>
    <t>MAX</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</si>
  <si>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</si>
  <si>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</si>
  <si>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</si>
  <si>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</si>
  <si>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</si>
  <si>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</si>
  <si>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</si>
  <si>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</si>
  <si>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</si>
  <si>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</si>
  <si>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</si>
  <si>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</si>
  <si>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</si>
  <si>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</si>
  <si>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</si>
  <si>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</si>
  <si>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</si>
  <si>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</si>
  <si>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</si>
  <si>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</si>
  <si>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</si>
  <si>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</si>
  <si>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</si>
  <si>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</si>
  <si>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</si>
  <si>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</si>
  <si>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</si>
  <si>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</si>
  <si>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</si>
  <si>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</si>
  <si>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</si>
  <si>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</si>
  <si>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</si>
  <si>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</si>
  <si>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</si>
  <si>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</si>
  <si>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</si>
  <si>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</si>
  <si>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</si>
  <si>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</si>
  <si>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</si>
  <si>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</si>
  <si>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</si>
  <si>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</si>
  <si>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</si>
  <si>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</si>
  <si>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</si>
  <si>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</si>
  <si>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</si>
  <si>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</si>
  <si>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</si>
  <si>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</si>
  <si>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</si>
  <si>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</si>
  <si>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</si>
  <si>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</si>
  <si>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</si>
  <si>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</si>
  <si>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</si>
  <si>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</si>
  <si>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</si>
  <si>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</si>
  <si>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</si>
  <si>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</si>
  <si>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</si>
  <si>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</si>
  <si>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</si>
  <si>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</si>
  <si>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</si>
  <si>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</si>
  <si>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</si>
  <si>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</si>
  <si>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</si>
  <si>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</si>
  <si>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</si>
  <si>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</si>
  <si>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 homes</t>
  </si>
  <si>
    <t>REG_TOTAL_STOCK_FLOOR</t>
  </si>
  <si>
    <t>SC_New</t>
  </si>
  <si>
    <t>CALCULATE # HOMES NOT ADDRESSED BY MEASURE AND ADD TO RETROFIT POOL</t>
  </si>
  <si>
    <t># HOMES RESIDUAL &amp; AVAILABLE TO NR/RETROFIT POOL</t>
  </si>
  <si>
    <t>APPLICABLE NEW STOCK MINUS TREATED</t>
  </si>
  <si>
    <t>Homes</t>
  </si>
  <si>
    <t>Total Residual to NR/Retro Pool</t>
  </si>
  <si>
    <t>='[7P Forecasts D1.xlsx]Res Forecast (Base Case)'!$D$5</t>
  </si>
  <si>
    <t>Measure Life</t>
  </si>
  <si>
    <t>Electric WH</t>
  </si>
  <si>
    <t>Saturation</t>
  </si>
  <si>
    <t>Measure:</t>
  </si>
  <si>
    <t>Item</t>
  </si>
  <si>
    <t>Methods &amp; Sources</t>
  </si>
  <si>
    <t>Note</t>
  </si>
  <si>
    <t>7P Updates</t>
  </si>
  <si>
    <t>Measures Described</t>
  </si>
  <si>
    <t>Energy Savings Calculation Basis</t>
  </si>
  <si>
    <t>Applicable Stock</t>
  </si>
  <si>
    <t>Baseline Saturation</t>
  </si>
  <si>
    <t>Baseline HVAC Loads</t>
  </si>
  <si>
    <t>Permutations</t>
  </si>
  <si>
    <t>Costs</t>
  </si>
  <si>
    <t>Savings Shape</t>
  </si>
  <si>
    <t>Achievable Ramp Rate</t>
  </si>
  <si>
    <t>Retro or LO</t>
  </si>
  <si>
    <t>Early Retrofit Parameters</t>
  </si>
  <si>
    <t>R or L</t>
  </si>
  <si>
    <t>Savings 2
(kWh)</t>
  </si>
  <si>
    <t>Remaining
Life (yrs)</t>
  </si>
  <si>
    <t>Salvage Value ($)</t>
  </si>
  <si>
    <t>R</t>
  </si>
  <si>
    <t>aMW</t>
  </si>
  <si>
    <t>Existing</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</si>
  <si>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</si>
  <si>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</si>
  <si>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</si>
  <si>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</si>
  <si>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</si>
  <si>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</si>
  <si>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</si>
  <si>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</si>
  <si>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</si>
  <si>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</si>
  <si>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</si>
  <si>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</si>
  <si>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</si>
  <si>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</si>
  <si>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</si>
  <si>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</si>
  <si>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</si>
  <si>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</si>
  <si>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</si>
  <si>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</si>
  <si>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</si>
  <si>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</si>
  <si>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</si>
  <si>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</si>
  <si>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</si>
  <si>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</si>
  <si>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</si>
  <si>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</si>
  <si>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</si>
  <si>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</si>
  <si>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</si>
  <si>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</si>
  <si>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</si>
  <si>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</si>
  <si>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</si>
  <si>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</si>
  <si>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</si>
  <si>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</si>
  <si>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</si>
  <si>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</si>
  <si>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</si>
  <si>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</si>
  <si>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</si>
  <si>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</si>
  <si>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</si>
  <si>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</si>
  <si>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</si>
  <si>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</si>
  <si>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</si>
  <si>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</si>
  <si>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</si>
  <si>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</si>
  <si>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</si>
  <si>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</si>
  <si>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</si>
  <si>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</si>
  <si>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</si>
  <si>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</si>
  <si>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</si>
  <si>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</si>
  <si>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</si>
  <si>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</si>
  <si>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</si>
  <si>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</si>
  <si>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</si>
  <si>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</si>
  <si>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</si>
  <si>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</si>
  <si>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</si>
  <si>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</si>
  <si>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</si>
  <si>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</si>
  <si>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</si>
  <si>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</si>
  <si>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</si>
  <si>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</si>
  <si>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</si>
  <si>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</si>
  <si>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</si>
  <si>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</si>
  <si>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</si>
  <si>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</si>
  <si>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</si>
  <si>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</si>
  <si>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</si>
  <si>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</si>
  <si>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</si>
  <si>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</si>
  <si>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</si>
  <si>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</si>
  <si>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</si>
  <si>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</si>
  <si>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</si>
  <si>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</si>
  <si>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</si>
  <si>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</si>
  <si>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</si>
  <si>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</si>
  <si>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</si>
  <si>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</si>
  <si>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</si>
  <si>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</si>
  <si>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</si>
  <si>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</si>
  <si>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</si>
  <si>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</si>
  <si>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</si>
  <si>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</si>
  <si>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</si>
  <si>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</si>
  <si>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</si>
  <si>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</si>
  <si>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</si>
  <si>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</si>
  <si>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</si>
  <si>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</si>
  <si>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</si>
  <si>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</si>
  <si>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</si>
  <si>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</si>
  <si>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</si>
  <si>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</si>
  <si>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</si>
  <si>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</si>
  <si>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</si>
  <si>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</si>
  <si>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</si>
  <si>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</si>
  <si>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</si>
  <si>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</si>
  <si>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</si>
  <si>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</si>
  <si>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</si>
  <si>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</si>
  <si>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</si>
  <si>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</si>
  <si>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</si>
  <si>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</si>
  <si>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</si>
  <si>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</si>
  <si>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</si>
  <si>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</si>
  <si>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</si>
  <si>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</si>
  <si>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</si>
  <si>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</si>
  <si>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</si>
  <si>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</si>
  <si>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</si>
  <si>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</si>
  <si>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</si>
  <si>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</si>
  <si>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</si>
  <si>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</si>
  <si>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</si>
  <si>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</si>
  <si>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</si>
  <si>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</si>
  <si>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</si>
  <si>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</si>
  <si>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</si>
  <si>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</si>
  <si>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</si>
  <si>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</si>
  <si>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</si>
  <si>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</si>
  <si>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</si>
  <si>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</si>
  <si>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</si>
  <si>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</si>
  <si>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</si>
  <si>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</si>
  <si>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</si>
  <si>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</si>
  <si>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</si>
  <si>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</si>
  <si>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</si>
  <si>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</si>
  <si>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</si>
  <si>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TRC Net Levelized Cost (Net of All Benefits)</t>
  </si>
  <si>
    <t>Tier1_garage_HZ1</t>
  </si>
  <si>
    <t>DHWkwh</t>
  </si>
  <si>
    <t>Heatkwh</t>
  </si>
  <si>
    <t>ResSpHtFAFZ1</t>
  </si>
  <si>
    <t>Coolkwh</t>
  </si>
  <si>
    <t>ResCACPNW</t>
  </si>
  <si>
    <t>Tier1_garage_HZ2</t>
  </si>
  <si>
    <t>ResSpHtFAFZ2</t>
  </si>
  <si>
    <t>Tier1_garage_HZ3</t>
  </si>
  <si>
    <t>ResSpHtFAFZ3</t>
  </si>
  <si>
    <t>Tier1_basmnt_HZ1</t>
  </si>
  <si>
    <t>Tier1_basmnt_HZ2</t>
  </si>
  <si>
    <t>Tier1_basmnt_HZ3</t>
  </si>
  <si>
    <t>ResSpHtHPZ1</t>
  </si>
  <si>
    <t>ResSpHtBBZ1</t>
  </si>
  <si>
    <t>Tier1_indor2_HZ1_gfnc</t>
  </si>
  <si>
    <t>Tier1_indor2_HZ1_gfac</t>
  </si>
  <si>
    <t>Tier1_indor2_HZ1_efaf</t>
  </si>
  <si>
    <t>Tier1_indor2_HZ1_hp85</t>
  </si>
  <si>
    <t>Tier1_indor2_HZ1_zonl</t>
  </si>
  <si>
    <t>ResSpHtHPZ2</t>
  </si>
  <si>
    <t>ResSpHtBBZ2</t>
  </si>
  <si>
    <t>Tier1_indor2_HZ2_gfnc</t>
  </si>
  <si>
    <t>Tier1_indor2_HZ2_gfac</t>
  </si>
  <si>
    <t>Tier1_indor2_HZ2_efaf</t>
  </si>
  <si>
    <t>Tier1_indor2_HZ2_hp85</t>
  </si>
  <si>
    <t>Tier1_indor2_HZ2_zonl</t>
  </si>
  <si>
    <t>ResSpHtHPZ3</t>
  </si>
  <si>
    <t>ResSpHtBBZ3</t>
  </si>
  <si>
    <t>Tier1_indor2_HZ3_gfnc</t>
  </si>
  <si>
    <t>Tier1_indor2_HZ3_gfac</t>
  </si>
  <si>
    <t>Tier1_indor2_HZ3_efaf</t>
  </si>
  <si>
    <t>Tier1_indor2_HZ3_hp85</t>
  </si>
  <si>
    <t>Tier1_indor2_HZ3_zonl</t>
  </si>
  <si>
    <t>Tier2_garage_HZ1</t>
  </si>
  <si>
    <t>Tier2_garage_HZ2</t>
  </si>
  <si>
    <t>Tier2_garage_HZ3</t>
  </si>
  <si>
    <t>Tier2_basmnt_HZ1</t>
  </si>
  <si>
    <t>Tier2_basmnt_HZ2</t>
  </si>
  <si>
    <t>Tier2_basmnt_HZ3</t>
  </si>
  <si>
    <t>Tier2_indor2_HZ1_gfnc</t>
  </si>
  <si>
    <t>Tier2_indor2_HZ1_gfac</t>
  </si>
  <si>
    <t>Tier2_indor2_HZ1_efaf</t>
  </si>
  <si>
    <t>Tier2_indor2_HZ1_hp85</t>
  </si>
  <si>
    <t>Tier2_indor2_HZ1_zonl</t>
  </si>
  <si>
    <t>Tier2_indor2_HZ2_gfnc</t>
  </si>
  <si>
    <t>Tier2_indor2_HZ2_gfac</t>
  </si>
  <si>
    <t>Tier2_indor2_HZ2_efaf</t>
  </si>
  <si>
    <t>Tier2_indor2_HZ2_hp85</t>
  </si>
  <si>
    <t>Tier2_indor2_HZ2_zonl</t>
  </si>
  <si>
    <t>Tier2_indor2_HZ3_gfnc</t>
  </si>
  <si>
    <t>Tier2_indor2_HZ3_gfac</t>
  </si>
  <si>
    <t>Tier2_indor2_HZ3_efaf</t>
  </si>
  <si>
    <t>Tier2_indor2_HZ3_hp85</t>
  </si>
  <si>
    <t>Tier2_indor2_HZ3_zonl</t>
  </si>
  <si>
    <t>Tier2_ducted_HZ1_gfnc</t>
  </si>
  <si>
    <t>Tier2_ducted_HZ1_gfac</t>
  </si>
  <si>
    <t>Tier2_ducted_HZ1_efaf</t>
  </si>
  <si>
    <t>Tier2_ducted_HZ1_hp85</t>
  </si>
  <si>
    <t>Tier2_ducted_HZ1_zonl</t>
  </si>
  <si>
    <t>Tier2_ducted_HZ2_gfnc</t>
  </si>
  <si>
    <t>Tier2_ducted_HZ2_gfac</t>
  </si>
  <si>
    <t>Tier2_ducted_HZ2_efaf</t>
  </si>
  <si>
    <t>Tier2_ducted_HZ2_hp85</t>
  </si>
  <si>
    <t>Tier2_ducted_HZ2_zonl</t>
  </si>
  <si>
    <t>Tier2_ducted_HZ3_gfnc</t>
  </si>
  <si>
    <t>Tier2_ducted_HZ3_gfac</t>
  </si>
  <si>
    <t>Tier2_ducted_HZ3_efaf</t>
  </si>
  <si>
    <t>Tier2_ducted_HZ3_hp85</t>
  </si>
  <si>
    <t>Tier2_ducted_HZ3_zonl</t>
  </si>
  <si>
    <t>RTF workbook:</t>
  </si>
  <si>
    <t>Res_HPWH_v2_0</t>
  </si>
  <si>
    <t/>
  </si>
  <si>
    <t>GDP Deflator</t>
  </si>
  <si>
    <t>Make Incremental</t>
  </si>
  <si>
    <t>From RBSA report</t>
  </si>
  <si>
    <t>Other is exterior closet</t>
  </si>
  <si>
    <t>Manufactured Homes WH Location:</t>
  </si>
  <si>
    <t>Single Family homes</t>
  </si>
  <si>
    <t>HPWH</t>
  </si>
  <si>
    <t>All</t>
  </si>
  <si>
    <t>Heating Zone</t>
  </si>
  <si>
    <t>Heating Zone 1</t>
  </si>
  <si>
    <t>Heating Zone 2</t>
  </si>
  <si>
    <t>Heating Zone 3</t>
  </si>
  <si>
    <t>Average</t>
  </si>
  <si>
    <t>Collapse to regional</t>
  </si>
  <si>
    <t>Apply Segments. MH only has garage and indoor options (based on RBSA location of WH)</t>
  </si>
  <si>
    <t>Indoor</t>
  </si>
  <si>
    <t>Collapse to garage/basement, rename to buffered</t>
  </si>
  <si>
    <t>Tier1_buffered</t>
  </si>
  <si>
    <t>EFAF</t>
  </si>
  <si>
    <t>HP85</t>
  </si>
  <si>
    <t>Zonl</t>
  </si>
  <si>
    <t>GFAC</t>
  </si>
  <si>
    <t>GFNC</t>
  </si>
  <si>
    <t>AC saturation</t>
  </si>
  <si>
    <t>(based on Massoud's forecast in 2035)</t>
  </si>
  <si>
    <t>Water Heating - HPWH</t>
  </si>
  <si>
    <t>New Homes only.  Also use this to calculate New Homes not addressed due to achievability, and send that to the Retrofit pool.</t>
  </si>
  <si>
    <t xml:space="preserve">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
  </si>
  <si>
    <t>NR</t>
  </si>
  <si>
    <t># Homes FOR EXISTING STOCK</t>
  </si>
  <si>
    <t># Homes NOT TREATED FROM NEW STOCK AND THUS AVAILABLE FOR NR POOL FROM SC-NEW</t>
  </si>
  <si>
    <t>ONLY INCLUDE AFTER ONE EUL</t>
  </si>
  <si>
    <t>New Stock into NR/Retro Pool</t>
  </si>
  <si>
    <t>EXISTING STOCK AVAILABLE TO NR/RETROFIT POOL</t>
  </si>
  <si>
    <t>APPLY MEASURE APPLICABILITY, SATURATION TURNOVER RATE FOR MAX ANNUAL # UNITS</t>
  </si>
  <si>
    <t>Turnover Rate</t>
  </si>
  <si>
    <t>INCREMENTAL ACHIEVABILITY</t>
  </si>
  <si>
    <t>CUMULATIVE ADOPTION</t>
  </si>
  <si>
    <t>Buffered</t>
  </si>
  <si>
    <t>MH</t>
  </si>
  <si>
    <t>SF</t>
  </si>
  <si>
    <t>% Saturation</t>
  </si>
  <si>
    <t>Tier2_buffered</t>
  </si>
  <si>
    <t>Single Family Tier1_buffered</t>
  </si>
  <si>
    <t>Single Family Tier1_indor2_gfnc</t>
  </si>
  <si>
    <t>Single Family Tier1_indor2_gfac</t>
  </si>
  <si>
    <t>Single Family Tier1_indor2_efaf</t>
  </si>
  <si>
    <t>Single Family Tier1_indor2_hp85</t>
  </si>
  <si>
    <t>Single Family Tier1_indor2_zonl</t>
  </si>
  <si>
    <t>Single Family Tier2_buffered</t>
  </si>
  <si>
    <t>Single Family Tier2_indor2_gfnc</t>
  </si>
  <si>
    <t>Single Family Tier2_indor2_gfac</t>
  </si>
  <si>
    <t>Single Family Tier2_indor2_efaf</t>
  </si>
  <si>
    <t>Single Family Tier2_indor2_hp85</t>
  </si>
  <si>
    <t>Single Family Tier2_indor2_zonl</t>
  </si>
  <si>
    <t>Manufactured Tier1_buffered</t>
  </si>
  <si>
    <t>Manufactured Tier1_indor2_gfnc</t>
  </si>
  <si>
    <t>Manufactured Tier1_indor2_gfac</t>
  </si>
  <si>
    <t>Manufactured Tier1_indor2_efaf</t>
  </si>
  <si>
    <t>Manufactured Tier1_indor2_hp85</t>
  </si>
  <si>
    <t>Manufactured Tier1_indor2_zonl</t>
  </si>
  <si>
    <t>Manufactured Tier2_indor2_gfnc</t>
  </si>
  <si>
    <t>Manufactured Tier2_indor2_gfac</t>
  </si>
  <si>
    <t>Manufactured Tier2_indor2_efaf</t>
  </si>
  <si>
    <t>Manufactured Tier2_indor2_hp85</t>
  </si>
  <si>
    <t>Manufactured Tier2_indor2_zonl</t>
  </si>
  <si>
    <t>Water heater usage, based on # persons per home</t>
  </si>
  <si>
    <t>Since they are pretty close, assume similar savings</t>
  </si>
  <si>
    <t>Manufactured Tier2_buffered</t>
  </si>
  <si>
    <t>&gt;210</t>
  </si>
  <si>
    <t>&gt;220</t>
  </si>
  <si>
    <t>&gt;230</t>
  </si>
  <si>
    <t>&gt;240</t>
  </si>
  <si>
    <t>&gt;250</t>
  </si>
  <si>
    <t>&gt;260</t>
  </si>
  <si>
    <t>&gt;270</t>
  </si>
  <si>
    <t>&gt;280</t>
  </si>
  <si>
    <t>&gt;290</t>
  </si>
  <si>
    <t>&gt;300</t>
  </si>
  <si>
    <t>&lt;=210</t>
  </si>
  <si>
    <t>&lt;=220</t>
  </si>
  <si>
    <t>&lt;=230</t>
  </si>
  <si>
    <t>&lt;=240</t>
  </si>
  <si>
    <t>&lt;=250</t>
  </si>
  <si>
    <t>&lt;=260</t>
  </si>
  <si>
    <t>&lt;=270</t>
  </si>
  <si>
    <t>&lt;=280</t>
  </si>
  <si>
    <t>&lt;=290</t>
  </si>
  <si>
    <t>&lt;=300</t>
  </si>
  <si>
    <t>Block 22: 200-210 mills/kWh</t>
  </si>
  <si>
    <t>Block 23: 210-220 mills/kWh</t>
  </si>
  <si>
    <t>Block 24: 220-230 mills/kWh</t>
  </si>
  <si>
    <t>Block 25: 230-240 mills/kWh</t>
  </si>
  <si>
    <t>Block 26: 240-250 mills/kWh</t>
  </si>
  <si>
    <t>Block 27: 250-260 mills/kWh</t>
  </si>
  <si>
    <t>Block 28: 260-270 mills/kWh</t>
  </si>
  <si>
    <t>Block 29: 270-280 mills/kWh</t>
  </si>
  <si>
    <t>Block 30: 280-290 mills/kWh</t>
  </si>
  <si>
    <t>Block 31: 290-300 mills/kWh</t>
  </si>
  <si>
    <t>Block 32: &gt; 300 mills/kWh</t>
  </si>
  <si>
    <t>Heat pump water heater replacing standard tank</t>
  </si>
  <si>
    <t>Based on RTF HPWH estimate</t>
  </si>
  <si>
    <t>RBSA on electric WH saturation</t>
  </si>
  <si>
    <t>Accounts for 12% of stock currently has &gt;55gal, so assume would go to HPWH based on fed std</t>
  </si>
  <si>
    <t>RBSA</t>
  </si>
  <si>
    <t>Tier 1, Tier 2; location (indoor vs buffered)</t>
  </si>
  <si>
    <t>Accounted for interaction for indoor HPWH units based on HVAC system type</t>
  </si>
  <si>
    <t>NEEA data</t>
  </si>
  <si>
    <t>RTF 13 yrs</t>
  </si>
  <si>
    <t>DHW - HPWH</t>
  </si>
  <si>
    <t>savingsYear</t>
  </si>
  <si>
    <t>Sector</t>
  </si>
  <si>
    <t>EndUse</t>
  </si>
  <si>
    <t>MeasureCategory</t>
  </si>
  <si>
    <t>MeasureIndex</t>
  </si>
  <si>
    <t>savingsType</t>
  </si>
  <si>
    <t>AchievedKWhBusbar</t>
  </si>
  <si>
    <t>AchievedaMWBusbar</t>
  </si>
  <si>
    <t>Residential</t>
  </si>
  <si>
    <t>Water Heat</t>
  </si>
  <si>
    <t>Heat Pump Water Heater</t>
  </si>
  <si>
    <t>lost opportunity</t>
  </si>
  <si>
    <t>retrofit</t>
  </si>
  <si>
    <t>R-All-HVAC-ER-All-All-E</t>
  </si>
  <si>
    <t>R-All-HVAC-CAC-All-All-E</t>
  </si>
  <si>
    <t>R-All-HVAC-ASHP-All-All-E</t>
  </si>
  <si>
    <t>R-All-HVAC-Zonal-All-All-E</t>
  </si>
  <si>
    <t>Drop ducted option (less savings, higher cost than nonducted). Adjust cost to 2012$</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</si>
  <si>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</si>
  <si>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</si>
  <si>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</si>
  <si>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</si>
  <si>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</si>
  <si>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</si>
  <si>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baseline is higher given new EF requirement from fed standard</t>
  </si>
  <si>
    <t>&lt;1%</t>
  </si>
  <si>
    <t>LO 6Slow</t>
  </si>
  <si>
    <t>HPWH are starting to penetrate market, new higher tier, low cost version to hit 2015</t>
  </si>
  <si>
    <t>new savings estimate from SEEM</t>
  </si>
  <si>
    <t>electric WH sat updated from RBSA</t>
  </si>
  <si>
    <t>Block 2: 0-10 mills/kWh</t>
  </si>
  <si>
    <t>R-All-WH-WHConvert-All-All-N</t>
  </si>
  <si>
    <t>Ramp Rate</t>
  </si>
  <si>
    <t>Resource Type</t>
  </si>
  <si>
    <t>Measure Bategory</t>
  </si>
  <si>
    <t>End Use</t>
  </si>
  <si>
    <t>kW per unit</t>
  </si>
  <si>
    <t>kWh per unit</t>
  </si>
  <si>
    <t>TRB Net Levelized Bost (Net of All Benefits)</t>
  </si>
  <si>
    <t>Savings Allocation by Bategory and Month for Segments 1</t>
  </si>
  <si>
    <t>Savings Allocation by Bategory and Month for Segments 2</t>
  </si>
  <si>
    <t>Approx # of units</t>
  </si>
  <si>
    <t>Water Heating</t>
  </si>
  <si>
    <t>Water Heaters</t>
  </si>
  <si>
    <t>Heat Pump Water Heaters</t>
  </si>
  <si>
    <t>End Use:</t>
  </si>
  <si>
    <t>Total Residual to SWH</t>
  </si>
  <si>
    <t>From table 85 below</t>
  </si>
  <si>
    <t>From table 105 below</t>
  </si>
  <si>
    <t>Friday, 6 March , 2015 at 1:52 PM</t>
  </si>
  <si>
    <t>Total Max Potential (aMW)</t>
  </si>
</sst>
</file>

<file path=xl/styles.xml><?xml version="1.0" encoding="utf-8"?>
<styleSheet xmlns="http://schemas.openxmlformats.org/spreadsheetml/2006/main">
  <numFmts count="15">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mmm\-yyyy"/>
    <numFmt numFmtId="171" formatCode="0.0;[Red]\-0.0"/>
    <numFmt numFmtId="172" formatCode="\ "/>
    <numFmt numFmtId="173" formatCode="0.0%"/>
    <numFmt numFmtId="174" formatCode="_(* #,##0.00_);_(* \(#,##0.00\);_(* &quot;-&quot;?_);_(@_)"/>
  </numFmts>
  <fonts count="62">
    <font>
      <sz val="10"/>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0"/>
      <color theme="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sz val="10"/>
      <color indexed="10"/>
      <name val="Arial"/>
      <family val="2"/>
    </font>
    <font>
      <b/>
      <sz val="9"/>
      <color theme="1"/>
      <name val="Arial"/>
      <family val="2"/>
    </font>
    <font>
      <b/>
      <sz val="11"/>
      <color theme="0"/>
      <name val="Calibri"/>
      <family val="2"/>
      <scheme val="minor"/>
    </font>
    <font>
      <sz val="10"/>
      <color theme="1"/>
      <name val="Calibri"/>
      <family val="2"/>
      <scheme val="minor"/>
    </font>
  </fonts>
  <fills count="82">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theme="0" tint="-0.49998474074526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3"/>
        <bgColor indexed="64"/>
      </patternFill>
    </fill>
    <fill>
      <patternFill patternType="solid">
        <fgColor indexed="41"/>
        <bgColor indexed="64"/>
      </patternFill>
    </fill>
    <fill>
      <patternFill patternType="solid">
        <fgColor theme="4"/>
        <bgColor theme="4"/>
      </patternFill>
    </fill>
    <fill>
      <patternFill patternType="solid">
        <fgColor theme="4" tint="0.79998168889431442"/>
        <bgColor theme="4" tint="0.79998168889431442"/>
      </patternFill>
    </fill>
  </fills>
  <borders count="6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double">
        <color indexed="64"/>
      </left>
      <right style="thick">
        <color indexed="64"/>
      </right>
      <top style="thick">
        <color indexed="64"/>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double">
        <color indexed="64"/>
      </top>
      <bottom style="thick">
        <color indexed="64"/>
      </bottom>
      <diagonal/>
    </border>
    <border>
      <left style="double">
        <color indexed="64"/>
      </left>
      <right style="thick">
        <color indexed="64"/>
      </right>
      <top style="thick">
        <color indexed="64"/>
      </top>
      <bottom style="thick">
        <color indexed="64"/>
      </bottom>
      <diagonal/>
    </border>
    <border>
      <left style="double">
        <color indexed="64"/>
      </left>
      <right style="thick">
        <color indexed="64"/>
      </right>
      <top style="thin">
        <color indexed="64"/>
      </top>
      <bottom/>
      <diagonal/>
    </border>
    <border>
      <left style="double">
        <color indexed="64"/>
      </left>
      <right style="thick">
        <color indexed="64"/>
      </right>
      <top style="double">
        <color indexed="64"/>
      </top>
      <bottom style="thick">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medium">
        <color indexed="64"/>
      </left>
      <right style="medium">
        <color indexed="64"/>
      </right>
      <top style="medium">
        <color indexed="64"/>
      </top>
      <bottom style="medium">
        <color indexed="64"/>
      </bottom>
      <diagonal/>
    </border>
  </borders>
  <cellStyleXfs count="510">
    <xf numFmtId="0" fontId="0" fillId="0" borderId="0">
      <alignment readingOrder="1"/>
    </xf>
    <xf numFmtId="44" fontId="4" fillId="0" borderId="0" applyFont="0" applyFill="0" applyBorder="0" applyAlignment="0" applyProtection="0"/>
    <xf numFmtId="0" fontId="2" fillId="0" borderId="0"/>
    <xf numFmtId="0" fontId="4" fillId="0" borderId="0"/>
    <xf numFmtId="0" fontId="4" fillId="0" borderId="0"/>
    <xf numFmtId="0" fontId="4" fillId="9" borderId="0" applyNumberFormat="0" applyAlignment="0">
      <alignment horizontal="right"/>
    </xf>
    <xf numFmtId="0" fontId="4" fillId="8" borderId="0" applyNumberFormat="0" applyAlignment="0"/>
    <xf numFmtId="169" fontId="14" fillId="0" borderId="0"/>
    <xf numFmtId="0" fontId="15" fillId="0" borderId="0">
      <alignment horizontal="center" wrapText="1"/>
    </xf>
    <xf numFmtId="9" fontId="4" fillId="0" borderId="0" applyFont="0" applyFill="0" applyBorder="0" applyAlignment="0" applyProtection="0"/>
    <xf numFmtId="0" fontId="19" fillId="0" borderId="0"/>
    <xf numFmtId="9" fontId="19" fillId="0" borderId="0" applyFont="0" applyFill="0" applyBorder="0" applyAlignment="0" applyProtection="0"/>
    <xf numFmtId="43" fontId="19" fillId="0" borderId="0" applyFont="0" applyFill="0" applyBorder="0" applyAlignment="0" applyProtection="0"/>
    <xf numFmtId="0" fontId="4" fillId="0" borderId="0">
      <alignment readingOrder="1"/>
    </xf>
    <xf numFmtId="0" fontId="4" fillId="0" borderId="0">
      <alignment readingOrder="1"/>
    </xf>
    <xf numFmtId="0" fontId="4" fillId="0" borderId="0">
      <alignment readingOrder="1"/>
    </xf>
    <xf numFmtId="0" fontId="24" fillId="17" borderId="0" applyNumberFormat="0" applyBorder="0" applyAlignment="0" applyProtection="0"/>
    <xf numFmtId="0" fontId="24" fillId="18" borderId="0" applyNumberFormat="0" applyBorder="0" applyAlignment="0" applyProtection="0"/>
    <xf numFmtId="0" fontId="25"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5" fillId="23" borderId="0" applyNumberFormat="0" applyBorder="0" applyAlignment="0" applyProtection="0"/>
    <xf numFmtId="0" fontId="24" fillId="24" borderId="0" applyNumberFormat="0" applyBorder="0" applyAlignment="0" applyProtection="0"/>
    <xf numFmtId="0" fontId="24" fillId="18" borderId="0" applyNumberFormat="0" applyBorder="0" applyAlignment="0" applyProtection="0"/>
    <xf numFmtId="0" fontId="25" fillId="19" borderId="0" applyNumberFormat="0" applyBorder="0" applyAlignment="0" applyProtection="0"/>
    <xf numFmtId="0" fontId="24" fillId="25" borderId="0" applyNumberFormat="0" applyBorder="0" applyAlignment="0" applyProtection="0"/>
    <xf numFmtId="0" fontId="25" fillId="25" borderId="0" applyNumberFormat="0" applyBorder="0" applyAlignment="0" applyProtection="0"/>
    <xf numFmtId="0" fontId="24" fillId="21" borderId="0" applyNumberFormat="0" applyBorder="0" applyAlignment="0" applyProtection="0"/>
    <xf numFmtId="0" fontId="25" fillId="21"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5" fillId="27" borderId="0" applyNumberFormat="0" applyBorder="0" applyAlignment="0" applyProtection="0"/>
    <xf numFmtId="0" fontId="24" fillId="28" borderId="0" applyNumberFormat="0" applyBorder="0" applyAlignment="0" applyProtection="0"/>
    <xf numFmtId="0" fontId="24" fillId="20" borderId="0" applyNumberFormat="0" applyBorder="0" applyAlignment="0" applyProtection="0"/>
    <xf numFmtId="0" fontId="25" fillId="28" borderId="0" applyNumberFormat="0" applyBorder="0" applyAlignment="0" applyProtection="0"/>
    <xf numFmtId="0" fontId="24" fillId="29" borderId="0" applyNumberFormat="0" applyBorder="0" applyAlignment="0" applyProtection="0"/>
    <xf numFmtId="0" fontId="24" fillId="20" borderId="0" applyNumberFormat="0" applyBorder="0" applyAlignment="0" applyProtection="0"/>
    <xf numFmtId="0" fontId="25" fillId="30" borderId="0" applyNumberFormat="0" applyBorder="0" applyAlignment="0" applyProtection="0"/>
    <xf numFmtId="0" fontId="24" fillId="24" borderId="0" applyNumberFormat="0" applyBorder="0" applyAlignment="0" applyProtection="0"/>
    <xf numFmtId="0" fontId="24" fillId="27" borderId="0" applyNumberFormat="0" applyBorder="0" applyAlignment="0" applyProtection="0"/>
    <xf numFmtId="0" fontId="25" fillId="27" borderId="0" applyNumberFormat="0" applyBorder="0" applyAlignment="0" applyProtection="0"/>
    <xf numFmtId="0" fontId="24" fillId="26" borderId="0" applyNumberFormat="0" applyBorder="0" applyAlignment="0" applyProtection="0"/>
    <xf numFmtId="0" fontId="25" fillId="26" borderId="0" applyNumberFormat="0" applyBorder="0" applyAlignment="0" applyProtection="0"/>
    <xf numFmtId="0" fontId="24" fillId="31" borderId="0" applyNumberFormat="0" applyBorder="0" applyAlignment="0" applyProtection="0"/>
    <xf numFmtId="0" fontId="24" fillId="21" borderId="0" applyNumberFormat="0" applyBorder="0" applyAlignment="0" applyProtection="0"/>
    <xf numFmtId="0" fontId="25" fillId="2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28" borderId="0" applyNumberFormat="0" applyBorder="0" applyAlignment="0" applyProtection="0"/>
    <xf numFmtId="0" fontId="26" fillId="20"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0" borderId="0" applyNumberFormat="0" applyBorder="0" applyAlignment="0" applyProtection="0"/>
    <xf numFmtId="0" fontId="26" fillId="30" borderId="0" applyNumberFormat="0" applyBorder="0" applyAlignment="0" applyProtection="0"/>
    <xf numFmtId="0" fontId="26" fillId="34"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5"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11" fillId="38" borderId="0" applyNumberFormat="0" applyBorder="0" applyAlignment="0" applyProtection="0"/>
    <xf numFmtId="0" fontId="26" fillId="39"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11" fillId="41" borderId="0" applyNumberFormat="0" applyBorder="0" applyAlignment="0" applyProtection="0"/>
    <xf numFmtId="0" fontId="26" fillId="42" borderId="0" applyNumberFormat="0" applyBorder="0" applyAlignment="0" applyProtection="0"/>
    <xf numFmtId="0" fontId="26"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11" fillId="44" borderId="0" applyNumberFormat="0" applyBorder="0" applyAlignment="0" applyProtection="0"/>
    <xf numFmtId="0" fontId="26" fillId="45" borderId="0" applyNumberFormat="0" applyBorder="0" applyAlignment="0" applyProtection="0"/>
    <xf numFmtId="0" fontId="26" fillId="20" borderId="0" applyNumberFormat="0" applyBorder="0" applyAlignment="0" applyProtection="0"/>
    <xf numFmtId="0" fontId="26" fillId="45"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11" fillId="47" borderId="0" applyNumberFormat="0" applyBorder="0" applyAlignment="0" applyProtection="0"/>
    <xf numFmtId="0" fontId="26" fillId="34"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9" fillId="49" borderId="0" applyNumberFormat="0" applyBorder="0" applyAlignment="0" applyProtection="0"/>
    <xf numFmtId="0" fontId="9" fillId="37" borderId="0" applyNumberFormat="0" applyBorder="0" applyAlignment="0" applyProtection="0"/>
    <xf numFmtId="0" fontId="11" fillId="50"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9" fillId="51" borderId="0" applyNumberFormat="0" applyBorder="0" applyAlignment="0" applyProtection="0"/>
    <xf numFmtId="0" fontId="9" fillId="52" borderId="0" applyNumberFormat="0" applyBorder="0" applyAlignment="0" applyProtection="0"/>
    <xf numFmtId="0" fontId="11" fillId="53" borderId="0" applyNumberFormat="0" applyBorder="0" applyAlignment="0" applyProtection="0"/>
    <xf numFmtId="0" fontId="26" fillId="54" borderId="0" applyNumberFormat="0" applyBorder="0" applyAlignment="0" applyProtection="0"/>
    <xf numFmtId="0" fontId="26" fillId="54"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0" borderId="0" applyNumberFormat="0" applyBorder="0" applyAlignment="0" applyProtection="0"/>
    <xf numFmtId="0" fontId="28" fillId="27" borderId="17" applyNumberFormat="0" applyAlignment="0" applyProtection="0"/>
    <xf numFmtId="0" fontId="28" fillId="18" borderId="17" applyNumberFormat="0" applyAlignment="0" applyProtection="0"/>
    <xf numFmtId="0" fontId="28" fillId="18" borderId="17" applyNumberFormat="0" applyAlignment="0" applyProtection="0"/>
    <xf numFmtId="0" fontId="29" fillId="55" borderId="18" applyNumberFormat="0" applyAlignment="0" applyProtection="0"/>
    <xf numFmtId="0" fontId="29" fillId="55" borderId="18" applyNumberFormat="0" applyAlignment="0" applyProtection="0"/>
    <xf numFmtId="41" fontId="3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31"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4" fillId="0" borderId="19"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6" fillId="59" borderId="21">
      <alignment horizontal="left"/>
    </xf>
    <xf numFmtId="0" fontId="36" fillId="0" borderId="22" applyNumberFormat="0" applyFill="0" applyAlignment="0" applyProtection="0"/>
    <xf numFmtId="0" fontId="37" fillId="0" borderId="23" applyNumberFormat="0" applyFill="0" applyAlignment="0" applyProtection="0"/>
    <xf numFmtId="0" fontId="38" fillId="0" borderId="24" applyNumberFormat="0" applyFill="0" applyAlignment="0" applyProtection="0"/>
    <xf numFmtId="0" fontId="38" fillId="0" borderId="24"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21" borderId="17" applyNumberFormat="0" applyAlignment="0" applyProtection="0"/>
    <xf numFmtId="0" fontId="44" fillId="21" borderId="17" applyNumberFormat="0" applyAlignment="0" applyProtection="0"/>
    <xf numFmtId="0" fontId="45" fillId="0" borderId="25" applyNumberFormat="0" applyFill="0" applyAlignment="0" applyProtection="0"/>
    <xf numFmtId="0" fontId="45" fillId="0" borderId="25" applyNumberFormat="0" applyFill="0" applyAlignment="0" applyProtection="0"/>
    <xf numFmtId="0" fontId="46" fillId="30" borderId="0" applyNumberFormat="0" applyBorder="0" applyAlignment="0" applyProtection="0"/>
    <xf numFmtId="0" fontId="46" fillId="30" borderId="0" applyNumberFormat="0" applyBorder="0" applyAlignment="0" applyProtection="0"/>
    <xf numFmtId="0" fontId="24" fillId="0" borderId="0"/>
    <xf numFmtId="0" fontId="4" fillId="0" borderId="0"/>
    <xf numFmtId="0" fontId="24" fillId="0" borderId="0"/>
    <xf numFmtId="0" fontId="24" fillId="0" borderId="0"/>
    <xf numFmtId="0" fontId="4" fillId="0" borderId="0"/>
    <xf numFmtId="0" fontId="4" fillId="0" borderId="0">
      <alignment readingOrder="1"/>
    </xf>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4" fillId="0" borderId="0">
      <alignment readingOrder="1"/>
    </xf>
    <xf numFmtId="0" fontId="19"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24" fillId="0" borderId="0"/>
    <xf numFmtId="0" fontId="24" fillId="0" borderId="0"/>
    <xf numFmtId="0" fontId="19" fillId="0" borderId="0"/>
    <xf numFmtId="0" fontId="19" fillId="0" borderId="0"/>
    <xf numFmtId="0" fontId="19" fillId="0" borderId="0"/>
    <xf numFmtId="0" fontId="19" fillId="0" borderId="0"/>
    <xf numFmtId="0" fontId="4" fillId="0" borderId="0">
      <alignment readingOrder="1"/>
    </xf>
    <xf numFmtId="0" fontId="4" fillId="0" borderId="0">
      <alignment readingOrder="1"/>
    </xf>
    <xf numFmtId="0" fontId="4" fillId="0" borderId="0">
      <alignment readingOrder="1"/>
    </xf>
    <xf numFmtId="0" fontId="19" fillId="0" borderId="0"/>
    <xf numFmtId="0" fontId="19" fillId="0" borderId="0"/>
    <xf numFmtId="0" fontId="4" fillId="0" borderId="0">
      <alignment readingOrder="1"/>
    </xf>
    <xf numFmtId="0" fontId="24" fillId="0" borderId="0"/>
    <xf numFmtId="0" fontId="4" fillId="0" borderId="0">
      <alignment readingOrder="1"/>
    </xf>
    <xf numFmtId="0" fontId="19" fillId="0" borderId="0"/>
    <xf numFmtId="0" fontId="19" fillId="0" borderId="0"/>
    <xf numFmtId="0" fontId="4" fillId="0" borderId="0">
      <alignment readingOrder="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alignment readingOrder="1"/>
    </xf>
    <xf numFmtId="0" fontId="4" fillId="0" borderId="0"/>
    <xf numFmtId="0" fontId="47" fillId="0" borderId="0"/>
    <xf numFmtId="0" fontId="48" fillId="0" borderId="0"/>
    <xf numFmtId="0" fontId="48" fillId="0" borderId="0"/>
    <xf numFmtId="0" fontId="48" fillId="0" borderId="0"/>
    <xf numFmtId="0" fontId="4" fillId="0" borderId="0"/>
    <xf numFmtId="0" fontId="4" fillId="0" borderId="0"/>
    <xf numFmtId="0" fontId="4" fillId="0" borderId="0"/>
    <xf numFmtId="0" fontId="48" fillId="0" borderId="0"/>
    <xf numFmtId="0" fontId="48" fillId="0" borderId="0"/>
    <xf numFmtId="0" fontId="48"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4" fillId="0" borderId="0"/>
    <xf numFmtId="0" fontId="2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9" fillId="0" borderId="0"/>
    <xf numFmtId="0" fontId="24" fillId="0" borderId="0"/>
    <xf numFmtId="0" fontId="19" fillId="0" borderId="0"/>
    <xf numFmtId="0" fontId="4" fillId="0" borderId="0" applyNumberFormat="0" applyFill="0" applyBorder="0" applyAlignment="0" applyProtection="0"/>
    <xf numFmtId="0" fontId="19" fillId="0" borderId="0"/>
    <xf numFmtId="0" fontId="19" fillId="0" borderId="0"/>
    <xf numFmtId="0" fontId="30" fillId="0" borderId="0"/>
    <xf numFmtId="0" fontId="19" fillId="0" borderId="0"/>
    <xf numFmtId="0" fontId="19" fillId="0" borderId="0"/>
    <xf numFmtId="0" fontId="4" fillId="0" borderId="0">
      <alignment readingOrder="1"/>
    </xf>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19" fillId="0" borderId="0"/>
    <xf numFmtId="0" fontId="19" fillId="0" borderId="0"/>
    <xf numFmtId="0" fontId="4" fillId="0" borderId="0"/>
    <xf numFmtId="0" fontId="24" fillId="0" borderId="0"/>
    <xf numFmtId="0" fontId="24" fillId="0" borderId="0"/>
    <xf numFmtId="0" fontId="19" fillId="0" borderId="0"/>
    <xf numFmtId="0" fontId="49" fillId="0" borderId="0"/>
    <xf numFmtId="0" fontId="24" fillId="0" borderId="0"/>
    <xf numFmtId="0" fontId="24" fillId="0" borderId="0"/>
    <xf numFmtId="0" fontId="24" fillId="0" borderId="0"/>
    <xf numFmtId="0" fontId="24" fillId="0" borderId="0"/>
    <xf numFmtId="0" fontId="4" fillId="0" borderId="0">
      <alignment readingOrder="1"/>
    </xf>
    <xf numFmtId="0" fontId="4" fillId="0" borderId="0">
      <alignment readingOrder="1"/>
    </xf>
    <xf numFmtId="0" fontId="4" fillId="0" borderId="0">
      <alignment readingOrder="1"/>
    </xf>
    <xf numFmtId="0" fontId="24" fillId="23" borderId="26" applyNumberFormat="0" applyFont="0" applyAlignment="0" applyProtection="0"/>
    <xf numFmtId="0" fontId="4" fillId="23" borderId="26" applyNumberFormat="0" applyFont="0" applyAlignment="0" applyProtection="0"/>
    <xf numFmtId="0" fontId="24" fillId="23" borderId="26" applyNumberFormat="0" applyFont="0" applyAlignment="0" applyProtection="0"/>
    <xf numFmtId="0" fontId="50" fillId="27" borderId="27" applyNumberFormat="0" applyAlignment="0" applyProtection="0"/>
    <xf numFmtId="0" fontId="50" fillId="18" borderId="27" applyNumberFormat="0" applyAlignment="0" applyProtection="0"/>
    <xf numFmtId="0" fontId="50" fillId="18" borderId="27" applyNumberFormat="0" applyAlignment="0" applyProtection="0"/>
    <xf numFmtId="9" fontId="2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51" fillId="0" borderId="0" applyNumberFormat="0" applyFill="0" applyBorder="0" applyAlignment="0" applyProtection="0"/>
    <xf numFmtId="0" fontId="52" fillId="0" borderId="0"/>
    <xf numFmtId="0" fontId="53" fillId="0" borderId="0"/>
    <xf numFmtId="170" fontId="4" fillId="0" borderId="0" applyFill="0" applyBorder="0" applyAlignment="0" applyProtection="0">
      <alignment wrapText="1"/>
    </xf>
    <xf numFmtId="0" fontId="51"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28" applyNumberFormat="0" applyFill="0" applyAlignment="0" applyProtection="0"/>
    <xf numFmtId="0" fontId="55" fillId="0" borderId="29" applyNumberFormat="0" applyFill="0" applyAlignment="0" applyProtection="0"/>
    <xf numFmtId="0" fontId="50" fillId="0" borderId="29"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lignment vertical="center"/>
    </xf>
    <xf numFmtId="0" fontId="4" fillId="0" borderId="0"/>
    <xf numFmtId="0" fontId="4" fillId="0" borderId="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4" borderId="0" applyNumberFormat="0" applyBorder="0" applyAlignment="0" applyProtection="0"/>
    <xf numFmtId="0" fontId="19" fillId="76" borderId="0" applyNumberFormat="0" applyBorder="0" applyAlignment="0" applyProtection="0"/>
    <xf numFmtId="0" fontId="19" fillId="76" borderId="0" applyNumberFormat="0" applyBorder="0" applyAlignment="0" applyProtection="0"/>
    <xf numFmtId="0" fontId="19" fillId="76" borderId="0" applyNumberFormat="0" applyBorder="0" applyAlignment="0" applyProtection="0"/>
    <xf numFmtId="0" fontId="19" fillId="76" borderId="0" applyNumberFormat="0" applyBorder="0" applyAlignment="0" applyProtection="0"/>
    <xf numFmtId="0" fontId="19" fillId="7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5" borderId="0" applyNumberFormat="0" applyBorder="0" applyAlignment="0" applyProtection="0"/>
    <xf numFmtId="0" fontId="19" fillId="75" borderId="0" applyNumberFormat="0" applyBorder="0" applyAlignment="0" applyProtection="0"/>
    <xf numFmtId="0" fontId="19" fillId="75" borderId="0" applyNumberFormat="0" applyBorder="0" applyAlignment="0" applyProtection="0"/>
    <xf numFmtId="0" fontId="19" fillId="75" borderId="0" applyNumberFormat="0" applyBorder="0" applyAlignment="0" applyProtection="0"/>
    <xf numFmtId="0" fontId="19" fillId="75" borderId="0" applyNumberFormat="0" applyBorder="0" applyAlignment="0" applyProtection="0"/>
    <xf numFmtId="0" fontId="19" fillId="77" borderId="0" applyNumberFormat="0" applyBorder="0" applyAlignment="0" applyProtection="0"/>
    <xf numFmtId="0" fontId="19" fillId="77" borderId="0" applyNumberFormat="0" applyBorder="0" applyAlignment="0" applyProtection="0"/>
    <xf numFmtId="0" fontId="19" fillId="77" borderId="0" applyNumberFormat="0" applyBorder="0" applyAlignment="0" applyProtection="0"/>
    <xf numFmtId="0" fontId="19" fillId="77"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9" borderId="0" applyNumberFormat="0" applyAlignment="0">
      <alignment horizontal="right"/>
    </xf>
    <xf numFmtId="0" fontId="4" fillId="8" borderId="0" applyNumberFormat="0" applyAlignment="0"/>
    <xf numFmtId="0" fontId="4" fillId="8" borderId="0" applyNumberFormat="0" applyAlignment="0"/>
    <xf numFmtId="0" fontId="4" fillId="8" borderId="0" applyNumberFormat="0" applyAlignment="0"/>
    <xf numFmtId="0" fontId="4" fillId="8" borderId="0" applyNumberFormat="0" applyAlignment="0"/>
    <xf numFmtId="0" fontId="24" fillId="0" borderId="0"/>
    <xf numFmtId="0" fontId="24" fillId="0" borderId="0"/>
    <xf numFmtId="0" fontId="19" fillId="0" borderId="0"/>
    <xf numFmtId="0" fontId="4" fillId="0" borderId="0">
      <alignment readingOrder="1"/>
    </xf>
    <xf numFmtId="0" fontId="19" fillId="0" borderId="0"/>
    <xf numFmtId="0" fontId="4" fillId="0" borderId="0"/>
    <xf numFmtId="0" fontId="4" fillId="0" borderId="0"/>
    <xf numFmtId="0" fontId="24" fillId="0" borderId="0"/>
    <xf numFmtId="0" fontId="19" fillId="0" borderId="0"/>
    <xf numFmtId="0" fontId="19" fillId="0" borderId="0"/>
    <xf numFmtId="0" fontId="4" fillId="0" borderId="0"/>
    <xf numFmtId="0" fontId="4" fillId="0" borderId="0"/>
    <xf numFmtId="0" fontId="24" fillId="0" borderId="0"/>
    <xf numFmtId="0" fontId="2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4" fillId="0" borderId="0"/>
    <xf numFmtId="0" fontId="24" fillId="0" borderId="0"/>
    <xf numFmtId="0" fontId="24" fillId="0" borderId="0"/>
    <xf numFmtId="0" fontId="24" fillId="0" borderId="0"/>
    <xf numFmtId="0" fontId="24" fillId="0" borderId="0"/>
    <xf numFmtId="0" fontId="19" fillId="65" borderId="48" applyNumberFormat="0" applyFont="0" applyAlignment="0" applyProtection="0"/>
    <xf numFmtId="0" fontId="19" fillId="65" borderId="48" applyNumberFormat="0" applyFont="0" applyAlignment="0" applyProtection="0"/>
    <xf numFmtId="0" fontId="19" fillId="65" borderId="48" applyNumberFormat="0" applyFont="0" applyAlignment="0" applyProtection="0"/>
    <xf numFmtId="0" fontId="19" fillId="65" borderId="48" applyNumberFormat="0" applyFont="0" applyAlignment="0" applyProtection="0"/>
    <xf numFmtId="0" fontId="19" fillId="65" borderId="48" applyNumberFormat="0" applyFont="0" applyAlignment="0" applyProtection="0"/>
    <xf numFmtId="0" fontId="19" fillId="65" borderId="48" applyNumberFormat="0" applyFont="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43" fontId="4" fillId="0" borderId="0" applyFont="0" applyFill="0" applyBorder="0" applyAlignment="0" applyProtection="0"/>
  </cellStyleXfs>
  <cellXfs count="226">
    <xf numFmtId="0" fontId="0" fillId="0" borderId="0" xfId="0"/>
    <xf numFmtId="0" fontId="3" fillId="0" borderId="0" xfId="2" applyFont="1"/>
    <xf numFmtId="0" fontId="5" fillId="0" borderId="0" xfId="3" applyFont="1"/>
    <xf numFmtId="0" fontId="4" fillId="0" borderId="0" xfId="2" applyFont="1"/>
    <xf numFmtId="5" fontId="4" fillId="0" borderId="0" xfId="2" applyNumberFormat="1" applyFont="1"/>
    <xf numFmtId="164" fontId="4" fillId="0" borderId="0" xfId="2" applyNumberFormat="1" applyFont="1"/>
    <xf numFmtId="164" fontId="5" fillId="0" borderId="0" xfId="2" applyNumberFormat="1" applyFont="1"/>
    <xf numFmtId="0" fontId="0" fillId="0" borderId="0" xfId="0">
      <alignment readingOrder="1"/>
    </xf>
    <xf numFmtId="0" fontId="3"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2" applyFont="1" applyAlignment="1">
      <alignment horizontal="center"/>
    </xf>
    <xf numFmtId="0" fontId="6" fillId="2" borderId="1" xfId="2" applyFont="1" applyFill="1" applyBorder="1" applyAlignment="1">
      <alignment horizontal="centerContinuous"/>
    </xf>
    <xf numFmtId="0" fontId="7" fillId="2" borderId="1" xfId="2" applyFont="1" applyFill="1" applyBorder="1" applyAlignment="1">
      <alignment horizontal="centerContinuous"/>
    </xf>
    <xf numFmtId="0" fontId="7" fillId="2" borderId="2" xfId="2" applyFont="1" applyFill="1" applyBorder="1" applyAlignment="1">
      <alignment horizontal="centerContinuous"/>
    </xf>
    <xf numFmtId="0" fontId="8" fillId="2" borderId="3" xfId="2" applyFont="1" applyFill="1" applyBorder="1" applyAlignment="1">
      <alignment horizontal="centerContinuous"/>
    </xf>
    <xf numFmtId="0" fontId="6" fillId="0" borderId="0"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4" fillId="0" borderId="0" xfId="2" applyFont="1" applyFill="1" applyBorder="1"/>
    <xf numFmtId="0" fontId="9" fillId="5" borderId="5" xfId="2" applyFont="1" applyFill="1" applyBorder="1" applyAlignment="1">
      <alignment horizontal="center" wrapText="1"/>
    </xf>
    <xf numFmtId="0" fontId="9" fillId="5" borderId="5" xfId="0" applyFont="1" applyFill="1" applyBorder="1" applyAlignment="1">
      <alignment horizontal="center" wrapText="1"/>
    </xf>
    <xf numFmtId="0" fontId="9" fillId="0" borderId="0" xfId="2" applyFont="1" applyFill="1" applyBorder="1" applyAlignment="1">
      <alignment horizontal="center" wrapText="1"/>
    </xf>
    <xf numFmtId="0" fontId="4" fillId="6" borderId="0" xfId="4" applyFont="1" applyFill="1" applyBorder="1" applyAlignment="1">
      <alignment wrapText="1"/>
    </xf>
    <xf numFmtId="1" fontId="4" fillId="6" borderId="0" xfId="4" applyNumberFormat="1" applyFont="1" applyFill="1" applyBorder="1" applyAlignment="1">
      <alignment wrapText="1"/>
    </xf>
    <xf numFmtId="2" fontId="4" fillId="6" borderId="0" xfId="4" applyNumberFormat="1" applyFont="1" applyFill="1" applyBorder="1" applyAlignment="1">
      <alignment wrapText="1"/>
    </xf>
    <xf numFmtId="0" fontId="11" fillId="7" borderId="6" xfId="0" applyFont="1" applyFill="1" applyBorder="1" applyAlignment="1">
      <alignment horizontal="left" readingOrder="1"/>
    </xf>
    <xf numFmtId="0" fontId="11" fillId="7" borderId="7" xfId="0" applyFont="1" applyFill="1" applyBorder="1" applyAlignment="1">
      <alignment horizontal="center" wrapText="1" readingOrder="1"/>
    </xf>
    <xf numFmtId="164" fontId="0" fillId="0" borderId="0" xfId="0" applyNumberFormat="1">
      <alignment readingOrder="1"/>
    </xf>
    <xf numFmtId="0" fontId="9" fillId="8" borderId="5" xfId="0" applyFont="1" applyFill="1" applyBorder="1" applyAlignment="1">
      <alignment horizontal="center" wrapText="1" readingOrder="1"/>
    </xf>
    <xf numFmtId="0" fontId="9" fillId="8" borderId="7" xfId="0" applyFont="1" applyFill="1" applyBorder="1" applyAlignment="1">
      <alignment horizontal="center" wrapText="1" readingOrder="1"/>
    </xf>
    <xf numFmtId="164" fontId="9" fillId="8" borderId="7" xfId="0" applyNumberFormat="1" applyFont="1" applyFill="1" applyBorder="1" applyAlignment="1">
      <alignment horizontal="center" wrapText="1" readingOrder="1"/>
    </xf>
    <xf numFmtId="164" fontId="8" fillId="0" borderId="0" xfId="0" applyNumberFormat="1" applyFont="1">
      <alignment readingOrder="1"/>
    </xf>
    <xf numFmtId="164" fontId="9" fillId="9" borderId="8" xfId="0" applyNumberFormat="1" applyFont="1" applyFill="1" applyBorder="1" applyAlignment="1">
      <alignment horizontal="centerContinuous" wrapText="1" readingOrder="1"/>
    </xf>
    <xf numFmtId="1" fontId="0" fillId="0" borderId="0" xfId="0" applyNumberFormat="1">
      <alignment readingOrder="1"/>
    </xf>
    <xf numFmtId="0" fontId="9" fillId="9" borderId="5" xfId="0" applyFont="1" applyFill="1" applyBorder="1" applyAlignment="1">
      <alignment horizontal="center" wrapText="1" readingOrder="1"/>
    </xf>
    <xf numFmtId="0" fontId="9" fillId="9" borderId="7" xfId="0" applyFont="1" applyFill="1" applyBorder="1" applyAlignment="1">
      <alignment horizontal="center" wrapText="1" readingOrder="1"/>
    </xf>
    <xf numFmtId="164" fontId="9" fillId="9" borderId="7" xfId="0" applyNumberFormat="1" applyFont="1" applyFill="1" applyBorder="1" applyAlignment="1">
      <alignment horizontal="center" wrapText="1" readingOrder="1"/>
    </xf>
    <xf numFmtId="164" fontId="9" fillId="9" borderId="9" xfId="0" applyNumberFormat="1" applyFont="1" applyFill="1" applyBorder="1" applyAlignment="1">
      <alignment horizontal="centerContinuous" wrapText="1" readingOrder="1"/>
    </xf>
    <xf numFmtId="164" fontId="9" fillId="9" borderId="10" xfId="0" applyNumberFormat="1" applyFont="1" applyFill="1" applyBorder="1" applyAlignment="1">
      <alignment horizontal="centerContinuous" wrapText="1" readingOrder="1"/>
    </xf>
    <xf numFmtId="164" fontId="0" fillId="0" borderId="0" xfId="0" applyNumberFormat="1"/>
    <xf numFmtId="0" fontId="0" fillId="10" borderId="0" xfId="0" applyFill="1"/>
    <xf numFmtId="2" fontId="0" fillId="0" borderId="0" xfId="0" applyNumberFormat="1"/>
    <xf numFmtId="164" fontId="4" fillId="6" borderId="0" xfId="4" applyNumberFormat="1" applyFont="1" applyFill="1" applyBorder="1" applyAlignment="1">
      <alignment wrapText="1"/>
    </xf>
    <xf numFmtId="0" fontId="10" fillId="0" borderId="0" xfId="0" applyFont="1">
      <alignment readingOrder="1"/>
    </xf>
    <xf numFmtId="49" fontId="0" fillId="0" borderId="0" xfId="0" applyNumberFormat="1">
      <alignment readingOrder="1"/>
    </xf>
    <xf numFmtId="0" fontId="0" fillId="5" borderId="0" xfId="0" applyFill="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0" fontId="0" fillId="13" borderId="0" xfId="0" applyFill="1">
      <alignment readingOrder="1"/>
    </xf>
    <xf numFmtId="0" fontId="0" fillId="0" borderId="0" xfId="0" applyFill="1" applyAlignment="1">
      <alignment vertical="center" wrapText="1" readingOrder="1"/>
    </xf>
    <xf numFmtId="0" fontId="0" fillId="0" borderId="0" xfId="0" applyFill="1">
      <alignment readingOrder="1"/>
    </xf>
    <xf numFmtId="0" fontId="0" fillId="0" borderId="0" xfId="0" quotePrefix="1" applyFill="1">
      <alignment readingOrder="1"/>
    </xf>
    <xf numFmtId="0" fontId="18" fillId="6" borderId="5" xfId="0" applyFont="1" applyFill="1" applyBorder="1"/>
    <xf numFmtId="9" fontId="4" fillId="14" borderId="0" xfId="9" applyFill="1" applyAlignment="1">
      <alignment horizontal="center" readingOrder="1"/>
    </xf>
    <xf numFmtId="1" fontId="0" fillId="11" borderId="0" xfId="0" applyNumberFormat="1" applyFill="1" applyAlignment="1">
      <alignment horizontal="center" readingOrder="1"/>
    </xf>
    <xf numFmtId="0" fontId="18" fillId="15" borderId="1" xfId="0" applyFont="1" applyFill="1" applyBorder="1"/>
    <xf numFmtId="0" fontId="18" fillId="15" borderId="4" xfId="0" applyFont="1" applyFill="1" applyBorder="1"/>
    <xf numFmtId="0" fontId="18" fillId="15" borderId="3" xfId="0" applyFont="1" applyFill="1" applyBorder="1"/>
    <xf numFmtId="0" fontId="18" fillId="15" borderId="11" xfId="0" applyFont="1" applyFill="1" applyBorder="1"/>
    <xf numFmtId="0" fontId="18" fillId="15" borderId="12" xfId="0" applyFont="1" applyFill="1" applyBorder="1"/>
    <xf numFmtId="0" fontId="18" fillId="15" borderId="13" xfId="0" applyFont="1" applyFill="1" applyBorder="1"/>
    <xf numFmtId="0" fontId="18" fillId="15" borderId="5" xfId="0" applyFont="1" applyFill="1" applyBorder="1"/>
    <xf numFmtId="0" fontId="18" fillId="14" borderId="5" xfId="0" applyFont="1" applyFill="1" applyBorder="1"/>
    <xf numFmtId="164" fontId="18" fillId="14" borderId="5" xfId="0" applyNumberFormat="1" applyFont="1" applyFill="1" applyBorder="1"/>
    <xf numFmtId="164" fontId="0" fillId="16" borderId="0" xfId="0" applyNumberFormat="1" applyFill="1" applyAlignment="1">
      <alignment horizontal="center" readingOrder="1"/>
    </xf>
    <xf numFmtId="9" fontId="18" fillId="15" borderId="5" xfId="9" applyFont="1" applyFill="1" applyBorder="1"/>
    <xf numFmtId="0" fontId="4" fillId="0" borderId="0" xfId="14">
      <alignment readingOrder="1"/>
    </xf>
    <xf numFmtId="0" fontId="23" fillId="12" borderId="14" xfId="0" applyFont="1" applyFill="1" applyBorder="1"/>
    <xf numFmtId="0" fontId="23" fillId="12" borderId="15" xfId="0" applyFont="1" applyFill="1" applyBorder="1"/>
    <xf numFmtId="0" fontId="23" fillId="12" borderId="8" xfId="0" applyFont="1" applyFill="1" applyBorder="1"/>
    <xf numFmtId="0" fontId="19" fillId="0" borderId="0" xfId="0" applyFont="1"/>
    <xf numFmtId="0" fontId="21" fillId="15" borderId="16" xfId="15" applyFont="1" applyFill="1" applyBorder="1" applyAlignment="1">
      <alignment horizontal="left" vertical="center" wrapText="1"/>
    </xf>
    <xf numFmtId="0" fontId="10" fillId="15" borderId="5" xfId="15" applyFont="1" applyFill="1" applyBorder="1" applyAlignment="1">
      <alignment horizontal="left" vertical="center" wrapText="1"/>
    </xf>
    <xf numFmtId="0" fontId="4" fillId="0" borderId="5" xfId="15" applyFont="1" applyFill="1" applyBorder="1" applyAlignment="1">
      <alignment horizontal="left" vertical="center" wrapText="1"/>
    </xf>
    <xf numFmtId="0" fontId="4" fillId="0" borderId="5" xfId="15" applyFont="1" applyBorder="1" applyAlignment="1">
      <alignment horizontal="left" vertical="center" wrapText="1" readingOrder="1"/>
    </xf>
    <xf numFmtId="0" fontId="4" fillId="0" borderId="5" xfId="15" applyNumberFormat="1" applyFont="1" applyBorder="1" applyAlignment="1">
      <alignment horizontal="left" vertical="center" wrapText="1" readingOrder="1"/>
    </xf>
    <xf numFmtId="0" fontId="21" fillId="15" borderId="5" xfId="15" applyFont="1" applyFill="1" applyBorder="1" applyAlignment="1">
      <alignment horizontal="left" vertical="center" wrapText="1"/>
    </xf>
    <xf numFmtId="0" fontId="20" fillId="0" borderId="5" xfId="15" applyFont="1" applyBorder="1" applyAlignment="1">
      <alignment horizontal="left" vertical="center" wrapText="1" readingOrder="1"/>
    </xf>
    <xf numFmtId="0" fontId="20" fillId="0" borderId="5" xfId="15" applyFont="1" applyBorder="1" applyAlignment="1">
      <alignment vertical="center" wrapText="1" readingOrder="1"/>
    </xf>
    <xf numFmtId="0" fontId="0" fillId="0" borderId="5" xfId="15" applyFont="1" applyBorder="1" applyAlignment="1">
      <alignment horizontal="left" vertical="center" wrapText="1" readingOrder="1"/>
    </xf>
    <xf numFmtId="0" fontId="7" fillId="60" borderId="7" xfId="2" applyFont="1" applyFill="1" applyBorder="1" applyAlignment="1">
      <alignment horizontal="center"/>
    </xf>
    <xf numFmtId="0" fontId="9" fillId="11" borderId="7" xfId="2" applyFont="1" applyFill="1" applyBorder="1" applyAlignment="1">
      <alignment horizontal="center" wrapText="1"/>
    </xf>
    <xf numFmtId="0" fontId="9" fillId="11" borderId="5" xfId="2" applyFont="1" applyFill="1" applyBorder="1" applyAlignment="1">
      <alignment horizontal="center" wrapText="1"/>
    </xf>
    <xf numFmtId="0" fontId="9" fillId="5" borderId="16" xfId="0" applyFont="1" applyFill="1" applyBorder="1" applyAlignment="1">
      <alignment horizontal="center" wrapText="1"/>
    </xf>
    <xf numFmtId="0" fontId="11" fillId="62" borderId="6" xfId="0" applyFont="1" applyFill="1" applyBorder="1" applyAlignment="1">
      <alignment horizontal="left" wrapText="1" readingOrder="1"/>
    </xf>
    <xf numFmtId="0" fontId="11" fillId="62" borderId="7" xfId="0" applyFont="1" applyFill="1" applyBorder="1" applyAlignment="1">
      <alignment horizontal="center" wrapText="1" readingOrder="1"/>
    </xf>
    <xf numFmtId="0" fontId="11" fillId="7" borderId="21" xfId="0" applyFont="1" applyFill="1" applyBorder="1" applyAlignment="1">
      <alignment horizontal="center" wrapText="1"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0"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9" fillId="63" borderId="14" xfId="0" applyFont="1" applyFill="1" applyBorder="1" applyAlignment="1">
      <alignment horizontal="centerContinuous" wrapText="1" readingOrder="1"/>
    </xf>
    <xf numFmtId="0" fontId="9" fillId="63" borderId="8" xfId="0" applyFont="1" applyFill="1" applyBorder="1" applyAlignment="1">
      <alignment horizontal="centerContinuous" wrapText="1" readingOrder="1"/>
    </xf>
    <xf numFmtId="164" fontId="9" fillId="63" borderId="14" xfId="0" applyNumberFormat="1" applyFont="1" applyFill="1" applyBorder="1" applyAlignment="1">
      <alignment horizontal="centerContinuous" wrapText="1" readingOrder="1"/>
    </xf>
    <xf numFmtId="164" fontId="9" fillId="63" borderId="15" xfId="0" applyNumberFormat="1" applyFont="1" applyFill="1" applyBorder="1" applyAlignment="1">
      <alignment horizontal="centerContinuous" wrapText="1" readingOrder="1"/>
    </xf>
    <xf numFmtId="164" fontId="9" fillId="63" borderId="8" xfId="0" applyNumberFormat="1" applyFont="1" applyFill="1" applyBorder="1" applyAlignment="1">
      <alignment horizontal="centerContinuous" wrapText="1" readingOrder="1"/>
    </xf>
    <xf numFmtId="164" fontId="9" fillId="63" borderId="21" xfId="0" applyNumberFormat="1" applyFont="1" applyFill="1" applyBorder="1" applyAlignment="1">
      <alignment horizontal="center" wrapText="1" readingOrder="1"/>
    </xf>
    <xf numFmtId="171" fontId="9" fillId="8" borderId="7" xfId="0" applyNumberFormat="1" applyFont="1" applyFill="1" applyBorder="1" applyAlignment="1">
      <alignment horizontal="center" wrapText="1" readingOrder="1"/>
    </xf>
    <xf numFmtId="164" fontId="58" fillId="0" borderId="0" xfId="0" applyNumberFormat="1" applyFont="1">
      <alignment readingOrder="1"/>
    </xf>
    <xf numFmtId="0" fontId="9" fillId="9" borderId="14" xfId="0" applyFont="1" applyFill="1" applyBorder="1" applyAlignment="1">
      <alignment horizontal="centerContinuous" wrapText="1" readingOrder="1"/>
    </xf>
    <xf numFmtId="0" fontId="9" fillId="9" borderId="15" xfId="0" applyFont="1" applyFill="1" applyBorder="1" applyAlignment="1">
      <alignment horizontal="centerContinuous" wrapText="1" readingOrder="1"/>
    </xf>
    <xf numFmtId="164" fontId="9" fillId="9" borderId="15" xfId="0" applyNumberFormat="1" applyFont="1" applyFill="1" applyBorder="1" applyAlignment="1">
      <alignment horizontal="centerContinuous" wrapText="1" readingOrder="1"/>
    </xf>
    <xf numFmtId="164" fontId="9" fillId="9" borderId="21" xfId="0" applyNumberFormat="1" applyFont="1" applyFill="1" applyBorder="1" applyAlignment="1">
      <alignment horizontal="center" wrapText="1" readingOrder="1"/>
    </xf>
    <xf numFmtId="164" fontId="9" fillId="9" borderId="14" xfId="0" applyNumberFormat="1" applyFont="1" applyFill="1" applyBorder="1" applyAlignment="1">
      <alignment horizontal="centerContinuous" wrapText="1" readingOrder="1"/>
    </xf>
    <xf numFmtId="164" fontId="10" fillId="0" borderId="0" xfId="0" applyNumberFormat="1" applyFont="1">
      <alignment readingOrder="1"/>
    </xf>
    <xf numFmtId="172" fontId="10" fillId="0" borderId="0" xfId="0" applyNumberFormat="1" applyFont="1">
      <alignment readingOrder="1"/>
    </xf>
    <xf numFmtId="172" fontId="0" fillId="0" borderId="0" xfId="0" applyNumberFormat="1">
      <alignment readingOrder="1"/>
    </xf>
    <xf numFmtId="172" fontId="58" fillId="0" borderId="0" xfId="0" applyNumberFormat="1" applyFont="1">
      <alignment readingOrder="1"/>
    </xf>
    <xf numFmtId="0" fontId="3" fillId="0" borderId="0" xfId="0" applyFont="1"/>
    <xf numFmtId="0" fontId="5" fillId="0" borderId="0" xfId="0" applyFont="1"/>
    <xf numFmtId="0" fontId="4" fillId="0" borderId="0" xfId="0" applyFont="1"/>
    <xf numFmtId="5" fontId="4" fillId="0" borderId="0" xfId="0" applyNumberFormat="1" applyFont="1"/>
    <xf numFmtId="164" fontId="4" fillId="0" borderId="0" xfId="0" applyNumberFormat="1" applyFont="1"/>
    <xf numFmtId="164" fontId="5" fillId="0" borderId="0" xfId="0" applyNumberFormat="1" applyFont="1"/>
    <xf numFmtId="0" fontId="4" fillId="0" borderId="0" xfId="0" applyFont="1" applyFill="1"/>
    <xf numFmtId="165" fontId="4" fillId="0" borderId="0" xfId="0" applyNumberFormat="1" applyFont="1"/>
    <xf numFmtId="0" fontId="3" fillId="0" borderId="0" xfId="0" applyFont="1" applyAlignment="1">
      <alignment horizontal="left"/>
    </xf>
    <xf numFmtId="0" fontId="4" fillId="0" borderId="0" xfId="0" applyFont="1" applyAlignment="1">
      <alignment horizontal="center"/>
    </xf>
    <xf numFmtId="0" fontId="6" fillId="2" borderId="1" xfId="0" applyFont="1" applyFill="1" applyBorder="1" applyAlignment="1">
      <alignment horizontal="centerContinuous"/>
    </xf>
    <xf numFmtId="0" fontId="7" fillId="2" borderId="1" xfId="0" applyFont="1" applyFill="1" applyBorder="1" applyAlignment="1">
      <alignment horizontal="centerContinuous"/>
    </xf>
    <xf numFmtId="0" fontId="7" fillId="2" borderId="2" xfId="0" applyFont="1" applyFill="1" applyBorder="1" applyAlignment="1">
      <alignment horizontal="centerContinuous"/>
    </xf>
    <xf numFmtId="0" fontId="8" fillId="2" borderId="7" xfId="0" applyFont="1" applyFill="1" applyBorder="1" applyAlignment="1">
      <alignment horizontal="centerContinuous"/>
    </xf>
    <xf numFmtId="0" fontId="6" fillId="0" borderId="0" xfId="0" applyFont="1" applyFill="1" applyBorder="1" applyAlignment="1">
      <alignment horizontal="centerContinuous"/>
    </xf>
    <xf numFmtId="0" fontId="7" fillId="0" borderId="0" xfId="0" applyFont="1" applyFill="1" applyBorder="1" applyAlignment="1">
      <alignment horizontal="centerContinuous"/>
    </xf>
    <xf numFmtId="0" fontId="8" fillId="0" borderId="0" xfId="0" applyFont="1" applyFill="1" applyBorder="1" applyAlignment="1">
      <alignment horizontal="centerContinuous"/>
    </xf>
    <xf numFmtId="0" fontId="9" fillId="0" borderId="0" xfId="0" applyFont="1" applyFill="1" applyBorder="1" applyAlignment="1">
      <alignment horizontal="centerContinuous"/>
    </xf>
    <xf numFmtId="0" fontId="4" fillId="0" borderId="0" xfId="0" applyFont="1" applyFill="1" applyBorder="1"/>
    <xf numFmtId="0" fontId="9" fillId="5" borderId="11" xfId="0" applyFont="1" applyFill="1" applyBorder="1" applyAlignment="1">
      <alignment horizontal="center" wrapText="1"/>
    </xf>
    <xf numFmtId="0" fontId="9" fillId="0" borderId="0" xfId="0" applyFont="1" applyFill="1" applyBorder="1" applyAlignment="1">
      <alignment horizontal="center" wrapText="1"/>
    </xf>
    <xf numFmtId="0" fontId="4" fillId="0" borderId="0" xfId="0" applyFont="1" applyBorder="1" applyAlignment="1">
      <alignment wrapText="1"/>
    </xf>
    <xf numFmtId="3" fontId="4" fillId="14" borderId="0" xfId="0" applyNumberFormat="1" applyFont="1" applyFill="1" applyBorder="1" applyAlignment="1">
      <alignment wrapText="1"/>
    </xf>
    <xf numFmtId="44" fontId="0" fillId="0" borderId="0" xfId="0" applyNumberFormat="1">
      <alignment readingOrder="1"/>
    </xf>
    <xf numFmtId="0" fontId="4" fillId="0" borderId="0" xfId="0" applyFont="1" applyBorder="1">
      <alignment readingOrder="1"/>
    </xf>
    <xf numFmtId="168" fontId="4" fillId="14" borderId="0" xfId="1" applyNumberFormat="1" applyFont="1" applyFill="1" applyBorder="1" applyAlignment="1">
      <alignment wrapText="1"/>
    </xf>
    <xf numFmtId="0" fontId="0" fillId="64" borderId="0" xfId="0" applyFill="1">
      <alignment readingOrder="1"/>
    </xf>
    <xf numFmtId="164" fontId="8" fillId="64" borderId="0" xfId="0" applyNumberFormat="1" applyFont="1" applyFill="1">
      <alignment readingOrder="1"/>
    </xf>
    <xf numFmtId="2" fontId="0" fillId="64" borderId="0" xfId="0" applyNumberFormat="1" applyFill="1">
      <alignment readingOrder="1"/>
    </xf>
    <xf numFmtId="0" fontId="0" fillId="0" borderId="30" xfId="0" applyBorder="1"/>
    <xf numFmtId="0" fontId="0" fillId="0" borderId="32" xfId="0" applyBorder="1"/>
    <xf numFmtId="0" fontId="0" fillId="0" borderId="33" xfId="0" applyBorder="1"/>
    <xf numFmtId="9" fontId="0" fillId="0" borderId="34" xfId="9" applyFont="1" applyBorder="1"/>
    <xf numFmtId="0" fontId="0" fillId="0" borderId="35" xfId="0" applyBorder="1"/>
    <xf numFmtId="9" fontId="0" fillId="0" borderId="37" xfId="9" applyFont="1" applyBorder="1"/>
    <xf numFmtId="0" fontId="59" fillId="0" borderId="38" xfId="0" applyFont="1" applyBorder="1" applyAlignment="1">
      <alignment horizontal="left"/>
    </xf>
    <xf numFmtId="0" fontId="59" fillId="0" borderId="39" xfId="0" applyFont="1" applyBorder="1" applyAlignment="1">
      <alignment horizontal="left"/>
    </xf>
    <xf numFmtId="173" fontId="0" fillId="0" borderId="40" xfId="9" applyNumberFormat="1" applyFont="1" applyBorder="1" applyAlignment="1">
      <alignment horizontal="right"/>
    </xf>
    <xf numFmtId="173" fontId="0" fillId="0" borderId="41" xfId="9" applyNumberFormat="1" applyFont="1" applyBorder="1" applyAlignment="1">
      <alignment horizontal="right"/>
    </xf>
    <xf numFmtId="0" fontId="59" fillId="0" borderId="42" xfId="0" applyFont="1" applyBorder="1" applyAlignment="1">
      <alignment horizontal="left" vertical="center"/>
    </xf>
    <xf numFmtId="0" fontId="59" fillId="0" borderId="43" xfId="0" applyFont="1" applyBorder="1" applyAlignment="1">
      <alignment horizontal="left"/>
    </xf>
    <xf numFmtId="0" fontId="59" fillId="0" borderId="44" xfId="0" applyFont="1" applyBorder="1" applyAlignment="1">
      <alignment horizontal="left"/>
    </xf>
    <xf numFmtId="0" fontId="59" fillId="0" borderId="45" xfId="0" applyFont="1" applyBorder="1" applyAlignment="1">
      <alignment horizontal="center" vertical="center" wrapText="1"/>
    </xf>
    <xf numFmtId="173" fontId="0" fillId="0" borderId="46" xfId="9" applyNumberFormat="1" applyFont="1" applyBorder="1" applyAlignment="1">
      <alignment horizontal="right"/>
    </xf>
    <xf numFmtId="173" fontId="0" fillId="0" borderId="47" xfId="9" applyNumberFormat="1" applyFont="1" applyBorder="1" applyAlignment="1">
      <alignment horizontal="right"/>
    </xf>
    <xf numFmtId="0" fontId="59" fillId="0" borderId="0" xfId="0" applyFont="1" applyAlignment="1">
      <alignment horizontal="left"/>
    </xf>
    <xf numFmtId="3" fontId="4" fillId="6" borderId="0" xfId="4" applyNumberFormat="1" applyFont="1" applyFill="1" applyBorder="1" applyAlignment="1">
      <alignment wrapText="1"/>
    </xf>
    <xf numFmtId="0" fontId="0" fillId="0" borderId="5" xfId="0" applyBorder="1"/>
    <xf numFmtId="9" fontId="0" fillId="0" borderId="0" xfId="0" applyNumberFormat="1"/>
    <xf numFmtId="9" fontId="0" fillId="0" borderId="0" xfId="9" applyFont="1"/>
    <xf numFmtId="9" fontId="10" fillId="78" borderId="0" xfId="0" applyNumberFormat="1" applyFont="1" applyFill="1">
      <alignment readingOrder="1"/>
    </xf>
    <xf numFmtId="0" fontId="18" fillId="6" borderId="2" xfId="0" applyFont="1" applyFill="1" applyBorder="1"/>
    <xf numFmtId="0" fontId="18" fillId="15" borderId="6" xfId="0" applyFont="1" applyFill="1" applyBorder="1"/>
    <xf numFmtId="0" fontId="18" fillId="15" borderId="21" xfId="0" applyFont="1" applyFill="1" applyBorder="1"/>
    <xf numFmtId="0" fontId="18" fillId="15" borderId="7" xfId="0" applyFont="1" applyFill="1" applyBorder="1"/>
    <xf numFmtId="0" fontId="18" fillId="15" borderId="2" xfId="0" applyFont="1" applyFill="1" applyBorder="1"/>
    <xf numFmtId="0" fontId="0" fillId="79" borderId="0" xfId="0" applyFill="1" applyAlignment="1">
      <alignment horizontal="center" wrapText="1" readingOrder="1"/>
    </xf>
    <xf numFmtId="1" fontId="0" fillId="0" borderId="0" xfId="0" applyNumberFormat="1" applyFill="1">
      <alignment readingOrder="1"/>
    </xf>
    <xf numFmtId="174" fontId="0" fillId="0" borderId="0" xfId="0" applyNumberFormat="1">
      <alignment readingOrder="1"/>
    </xf>
    <xf numFmtId="174" fontId="0" fillId="0" borderId="0" xfId="0" applyNumberFormat="1" applyFill="1">
      <alignment readingOrder="1"/>
    </xf>
    <xf numFmtId="0" fontId="0" fillId="0" borderId="49" xfId="0" applyBorder="1"/>
    <xf numFmtId="0" fontId="0" fillId="0" borderId="50" xfId="0" applyBorder="1"/>
    <xf numFmtId="0" fontId="0" fillId="0" borderId="51" xfId="0" applyBorder="1"/>
    <xf numFmtId="9" fontId="0" fillId="0" borderId="52" xfId="9" applyFont="1" applyBorder="1"/>
    <xf numFmtId="0" fontId="0" fillId="0" borderId="53" xfId="0" applyBorder="1"/>
    <xf numFmtId="9" fontId="0" fillId="0" borderId="54" xfId="0" applyNumberFormat="1" applyBorder="1"/>
    <xf numFmtId="0" fontId="60" fillId="80" borderId="55" xfId="0" applyFont="1" applyFill="1" applyBorder="1"/>
    <xf numFmtId="0" fontId="60" fillId="80" borderId="56" xfId="0" applyFont="1" applyFill="1" applyBorder="1"/>
    <xf numFmtId="0" fontId="0" fillId="81" borderId="55" xfId="0" applyFont="1" applyFill="1" applyBorder="1"/>
    <xf numFmtId="0" fontId="0" fillId="81" borderId="56" xfId="0" applyFont="1" applyFill="1" applyBorder="1"/>
    <xf numFmtId="3" fontId="0" fillId="81" borderId="56" xfId="0" applyNumberFormat="1" applyFont="1" applyFill="1" applyBorder="1"/>
    <xf numFmtId="4" fontId="0" fillId="81" borderId="56" xfId="0" applyNumberFormat="1" applyFont="1" applyFill="1" applyBorder="1"/>
    <xf numFmtId="0" fontId="0" fillId="0" borderId="57" xfId="0" applyFont="1" applyBorder="1"/>
    <xf numFmtId="0" fontId="0" fillId="0" borderId="58" xfId="0" applyFont="1" applyBorder="1"/>
    <xf numFmtId="3" fontId="0" fillId="0" borderId="58" xfId="0" applyNumberFormat="1" applyFont="1" applyBorder="1"/>
    <xf numFmtId="4" fontId="0" fillId="0" borderId="58" xfId="0" applyNumberFormat="1" applyFont="1" applyBorder="1"/>
    <xf numFmtId="0" fontId="0" fillId="81" borderId="57" xfId="0" applyFont="1" applyFill="1" applyBorder="1"/>
    <xf numFmtId="0" fontId="0" fillId="81" borderId="58" xfId="0" applyFont="1" applyFill="1" applyBorder="1"/>
    <xf numFmtId="3" fontId="0" fillId="81" borderId="58" xfId="0" applyNumberFormat="1" applyFont="1" applyFill="1" applyBorder="1"/>
    <xf numFmtId="4" fontId="0" fillId="81" borderId="58" xfId="0" applyNumberFormat="1" applyFont="1" applyFill="1" applyBorder="1"/>
    <xf numFmtId="9" fontId="0" fillId="0" borderId="59" xfId="0" applyNumberFormat="1" applyBorder="1">
      <alignment readingOrder="1"/>
    </xf>
    <xf numFmtId="2" fontId="0" fillId="11" borderId="0" xfId="0" applyNumberFormat="1" applyFill="1" applyAlignment="1">
      <alignment horizontal="center" readingOrder="1"/>
    </xf>
    <xf numFmtId="43" fontId="0" fillId="11" borderId="0" xfId="509" applyFont="1" applyFill="1" applyAlignment="1">
      <alignment horizontal="center" readingOrder="1"/>
    </xf>
    <xf numFmtId="3" fontId="0" fillId="0" borderId="0" xfId="0" applyNumberFormat="1"/>
    <xf numFmtId="0" fontId="61" fillId="0" borderId="0" xfId="0" applyFont="1"/>
    <xf numFmtId="1" fontId="0" fillId="0" borderId="0" xfId="0" applyNumberFormat="1"/>
    <xf numFmtId="0" fontId="0" fillId="15" borderId="0" xfId="0" applyFill="1">
      <alignment readingOrder="1"/>
    </xf>
    <xf numFmtId="0" fontId="0" fillId="15" borderId="0" xfId="0" applyFill="1" applyAlignment="1">
      <alignment vertical="center" wrapText="1" readingOrder="1"/>
    </xf>
    <xf numFmtId="164" fontId="0" fillId="13" borderId="0" xfId="0" applyNumberFormat="1" applyFill="1">
      <alignment readingOrder="1"/>
    </xf>
    <xf numFmtId="0" fontId="0" fillId="12" borderId="0" xfId="0" applyFill="1" applyAlignment="1">
      <alignment horizontal="left" vertical="center" readingOrder="1"/>
    </xf>
    <xf numFmtId="0" fontId="9" fillId="3" borderId="1" xfId="2" applyFont="1" applyFill="1" applyBorder="1" applyAlignment="1">
      <alignment horizontal="center"/>
    </xf>
    <xf numFmtId="0" fontId="9" fillId="3" borderId="4" xfId="2" applyFont="1" applyFill="1" applyBorder="1" applyAlignment="1">
      <alignment horizontal="center"/>
    </xf>
    <xf numFmtId="0" fontId="9" fillId="3" borderId="3" xfId="2" applyFont="1" applyFill="1" applyBorder="1" applyAlignment="1">
      <alignment horizontal="center"/>
    </xf>
    <xf numFmtId="0" fontId="6" fillId="4" borderId="2" xfId="0" applyFont="1" applyFill="1" applyBorder="1" applyAlignment="1">
      <alignment horizontal="center"/>
    </xf>
    <xf numFmtId="0" fontId="10" fillId="0" borderId="2" xfId="0" applyFont="1" applyBorder="1" applyAlignment="1">
      <alignment horizontal="center"/>
    </xf>
    <xf numFmtId="0" fontId="10" fillId="61" borderId="5" xfId="2" applyFont="1" applyFill="1" applyBorder="1" applyAlignment="1">
      <alignment horizontal="center"/>
    </xf>
    <xf numFmtId="0" fontId="6" fillId="2" borderId="6" xfId="2" applyFont="1" applyFill="1" applyBorder="1" applyAlignment="1">
      <alignment horizontal="center"/>
    </xf>
    <xf numFmtId="0" fontId="6" fillId="2" borderId="21" xfId="2" applyFont="1" applyFill="1" applyBorder="1" applyAlignment="1">
      <alignment horizontal="center"/>
    </xf>
    <xf numFmtId="0" fontId="6" fillId="2" borderId="7" xfId="2" applyFont="1" applyFill="1" applyBorder="1" applyAlignment="1">
      <alignment horizontal="center"/>
    </xf>
    <xf numFmtId="0" fontId="9" fillId="3" borderId="6" xfId="2" applyFont="1" applyFill="1" applyBorder="1" applyAlignment="1">
      <alignment horizontal="center"/>
    </xf>
    <xf numFmtId="0" fontId="9" fillId="3" borderId="21" xfId="2" applyFont="1" applyFill="1" applyBorder="1" applyAlignment="1">
      <alignment horizontal="center"/>
    </xf>
    <xf numFmtId="0" fontId="9" fillId="3" borderId="7" xfId="2" applyFont="1" applyFill="1" applyBorder="1" applyAlignment="1">
      <alignment horizontal="center"/>
    </xf>
    <xf numFmtId="0" fontId="6" fillId="4" borderId="1" xfId="0" applyFont="1" applyFill="1" applyBorder="1" applyAlignment="1">
      <alignment horizontal="center"/>
    </xf>
    <xf numFmtId="0" fontId="6" fillId="4" borderId="3" xfId="0" applyFont="1" applyFill="1" applyBorder="1" applyAlignment="1">
      <alignment horizontal="center"/>
    </xf>
    <xf numFmtId="0" fontId="9" fillId="3" borderId="6" xfId="0" applyFont="1" applyFill="1" applyBorder="1" applyAlignment="1">
      <alignment horizontal="center"/>
    </xf>
    <xf numFmtId="0" fontId="9" fillId="3" borderId="21" xfId="0" applyFont="1" applyFill="1" applyBorder="1" applyAlignment="1">
      <alignment horizontal="center"/>
    </xf>
    <xf numFmtId="0" fontId="9" fillId="3" borderId="7" xfId="0" applyFont="1" applyFill="1" applyBorder="1" applyAlignment="1">
      <alignment horizontal="center"/>
    </xf>
    <xf numFmtId="0" fontId="6" fillId="4" borderId="5" xfId="0" applyFont="1" applyFill="1" applyBorder="1" applyAlignment="1">
      <alignment horizontal="center"/>
    </xf>
    <xf numFmtId="0" fontId="10" fillId="0" borderId="5" xfId="0" applyFont="1" applyBorder="1" applyAlignment="1">
      <alignment horizontal="center"/>
    </xf>
  </cellXfs>
  <cellStyles count="510">
    <cellStyle name="20% - Accent1 2" xfId="16"/>
    <cellStyle name="20% - Accent1 2 2" xfId="17"/>
    <cellStyle name="20% - Accent1 3" xfId="18"/>
    <cellStyle name="20% - Accent1 3 2" xfId="365"/>
    <cellStyle name="20% - Accent1 4" xfId="366"/>
    <cellStyle name="20% - Accent1 4 2" xfId="367"/>
    <cellStyle name="20% - Accent1 5" xfId="368"/>
    <cellStyle name="20% - Accent2 2" xfId="19"/>
    <cellStyle name="20% - Accent2 2 2" xfId="369"/>
    <cellStyle name="20% - Accent2 3" xfId="20"/>
    <cellStyle name="20% - Accent2 3 2" xfId="370"/>
    <cellStyle name="20% - Accent2 4" xfId="371"/>
    <cellStyle name="20% - Accent2 4 2" xfId="372"/>
    <cellStyle name="20% - Accent2 5" xfId="373"/>
    <cellStyle name="20% - Accent3 2" xfId="21"/>
    <cellStyle name="20% - Accent3 2 2" xfId="22"/>
    <cellStyle name="20% - Accent3 3" xfId="23"/>
    <cellStyle name="20% - Accent3 3 2" xfId="374"/>
    <cellStyle name="20% - Accent3 4" xfId="375"/>
    <cellStyle name="20% - Accent3 4 2" xfId="376"/>
    <cellStyle name="20% - Accent3 5" xfId="377"/>
    <cellStyle name="20% - Accent4 2" xfId="24"/>
    <cellStyle name="20% - Accent4 2 2" xfId="25"/>
    <cellStyle name="20% - Accent4 3" xfId="26"/>
    <cellStyle name="20% - Accent4 3 2" xfId="378"/>
    <cellStyle name="20% - Accent4 4" xfId="379"/>
    <cellStyle name="20% - Accent4 4 2" xfId="380"/>
    <cellStyle name="20% - Accent4 5" xfId="381"/>
    <cellStyle name="20% - Accent5 2" xfId="27"/>
    <cellStyle name="20% - Accent5 2 2" xfId="382"/>
    <cellStyle name="20% - Accent5 3" xfId="28"/>
    <cellStyle name="20% - Accent5 3 2" xfId="383"/>
    <cellStyle name="20% - Accent5 4" xfId="384"/>
    <cellStyle name="20% - Accent5 4 2" xfId="385"/>
    <cellStyle name="20% - Accent5 5" xfId="386"/>
    <cellStyle name="20% - Accent6 2" xfId="29"/>
    <cellStyle name="20% - Accent6 2 2" xfId="387"/>
    <cellStyle name="20% - Accent6 3" xfId="30"/>
    <cellStyle name="20% - Accent6 3 2" xfId="388"/>
    <cellStyle name="20% - Accent6 4" xfId="389"/>
    <cellStyle name="20% - Accent6 4 2" xfId="390"/>
    <cellStyle name="20% - Accent6 5" xfId="391"/>
    <cellStyle name="40% - Accent1 2" xfId="31"/>
    <cellStyle name="40% - Accent1 2 2" xfId="32"/>
    <cellStyle name="40% - Accent1 3" xfId="33"/>
    <cellStyle name="40% - Accent1 3 2" xfId="392"/>
    <cellStyle name="40% - Accent1 4" xfId="393"/>
    <cellStyle name="40% - Accent1 4 2" xfId="394"/>
    <cellStyle name="40% - Accent1 5" xfId="395"/>
    <cellStyle name="40% - Accent2 2" xfId="34"/>
    <cellStyle name="40% - Accent2 2 2" xfId="35"/>
    <cellStyle name="40% - Accent2 3" xfId="36"/>
    <cellStyle name="40% - Accent2 3 2" xfId="396"/>
    <cellStyle name="40% - Accent2 4" xfId="397"/>
    <cellStyle name="40% - Accent2 4 2" xfId="398"/>
    <cellStyle name="40% - Accent2 5" xfId="399"/>
    <cellStyle name="40% - Accent3 2" xfId="37"/>
    <cellStyle name="40% - Accent3 2 2" xfId="38"/>
    <cellStyle name="40% - Accent3 3" xfId="39"/>
    <cellStyle name="40% - Accent3 3 2" xfId="400"/>
    <cellStyle name="40% - Accent3 4" xfId="401"/>
    <cellStyle name="40% - Accent3 4 2" xfId="402"/>
    <cellStyle name="40% - Accent3 5" xfId="403"/>
    <cellStyle name="40% - Accent4 2" xfId="40"/>
    <cellStyle name="40% - Accent4 2 2" xfId="41"/>
    <cellStyle name="40% - Accent4 3" xfId="42"/>
    <cellStyle name="40% - Accent4 3 2" xfId="404"/>
    <cellStyle name="40% - Accent4 4" xfId="405"/>
    <cellStyle name="40% - Accent4 4 2" xfId="406"/>
    <cellStyle name="40% - Accent4 5" xfId="407"/>
    <cellStyle name="40% - Accent5 2" xfId="43"/>
    <cellStyle name="40% - Accent5 2 2" xfId="408"/>
    <cellStyle name="40% - Accent5 3" xfId="44"/>
    <cellStyle name="40% - Accent5 3 2" xfId="409"/>
    <cellStyle name="40% - Accent5 4" xfId="410"/>
    <cellStyle name="40% - Accent5 4 2" xfId="411"/>
    <cellStyle name="40% - Accent5 5" xfId="412"/>
    <cellStyle name="40% - Accent6 2" xfId="45"/>
    <cellStyle name="40% - Accent6 2 2" xfId="46"/>
    <cellStyle name="40% - Accent6 3" xfId="47"/>
    <cellStyle name="40% - Accent6 3 2" xfId="413"/>
    <cellStyle name="40% - Accent6 4" xfId="414"/>
    <cellStyle name="40% - Accent6 4 2" xfId="415"/>
    <cellStyle name="40% - Accent6 5" xfId="416"/>
    <cellStyle name="60% - Accent1 2" xfId="48"/>
    <cellStyle name="60% - Accent1 2 2" xfId="49"/>
    <cellStyle name="60% - Accent1 3" xfId="50"/>
    <cellStyle name="60% - Accent2 2" xfId="51"/>
    <cellStyle name="60% - Accent2 2 2" xfId="52"/>
    <cellStyle name="60% - Accent2 3" xfId="53"/>
    <cellStyle name="60% - Accent3 2" xfId="54"/>
    <cellStyle name="60% - Accent3 2 2" xfId="55"/>
    <cellStyle name="60% - Accent3 3" xfId="56"/>
    <cellStyle name="60% - Accent4 2" xfId="57"/>
    <cellStyle name="60% - Accent4 2 2" xfId="58"/>
    <cellStyle name="60% - Accent4 3" xfId="59"/>
    <cellStyle name="60% - Accent5 2" xfId="60"/>
    <cellStyle name="60% - Accent5 3" xfId="61"/>
    <cellStyle name="60% - Accent6 2" xfId="62"/>
    <cellStyle name="60% - Accent6 2 2" xfId="63"/>
    <cellStyle name="60% - Accent6 3" xfId="64"/>
    <cellStyle name="Accent1 - 20%" xfId="65"/>
    <cellStyle name="Accent1 - 40%" xfId="66"/>
    <cellStyle name="Accent1 - 60%" xfId="67"/>
    <cellStyle name="Accent1 2" xfId="68"/>
    <cellStyle name="Accent1 2 2" xfId="69"/>
    <cellStyle name="Accent1 3" xfId="70"/>
    <cellStyle name="Accent2 - 20%" xfId="71"/>
    <cellStyle name="Accent2 - 40%" xfId="72"/>
    <cellStyle name="Accent2 - 60%" xfId="73"/>
    <cellStyle name="Accent2 2" xfId="74"/>
    <cellStyle name="Accent2 3" xfId="75"/>
    <cellStyle name="Accent3 - 20%" xfId="76"/>
    <cellStyle name="Accent3 - 40%" xfId="77"/>
    <cellStyle name="Accent3 - 60%" xfId="78"/>
    <cellStyle name="Accent3 2" xfId="79"/>
    <cellStyle name="Accent3 2 2" xfId="80"/>
    <cellStyle name="Accent3 3" xfId="81"/>
    <cellStyle name="Accent4 - 20%" xfId="82"/>
    <cellStyle name="Accent4 - 40%" xfId="83"/>
    <cellStyle name="Accent4 - 60%" xfId="84"/>
    <cellStyle name="Accent4 2" xfId="85"/>
    <cellStyle name="Accent4 2 2" xfId="86"/>
    <cellStyle name="Accent4 3" xfId="87"/>
    <cellStyle name="Accent5 - 20%" xfId="88"/>
    <cellStyle name="Accent5 - 40%" xfId="89"/>
    <cellStyle name="Accent5 - 60%" xfId="90"/>
    <cellStyle name="Accent5 2" xfId="91"/>
    <cellStyle name="Accent5 3" xfId="92"/>
    <cellStyle name="Accent6 - 20%" xfId="93"/>
    <cellStyle name="Accent6 - 40%" xfId="94"/>
    <cellStyle name="Accent6 - 60%" xfId="95"/>
    <cellStyle name="Accent6 2" xfId="96"/>
    <cellStyle name="Accent6 3" xfId="97"/>
    <cellStyle name="Bad 2" xfId="98"/>
    <cellStyle name="Bad 2 2" xfId="99"/>
    <cellStyle name="Bad 3" xfId="100"/>
    <cellStyle name="Calculation 2" xfId="101"/>
    <cellStyle name="Calculation 2 2" xfId="102"/>
    <cellStyle name="Calculation 3" xfId="103"/>
    <cellStyle name="Check Cell 2" xfId="104"/>
    <cellStyle name="Check Cell 3" xfId="105"/>
    <cellStyle name="Comma" xfId="509" builtinId="3"/>
    <cellStyle name="Comma [0] 2" xfId="106"/>
    <cellStyle name="Comma 2" xfId="107"/>
    <cellStyle name="Comma 2 2" xfId="108"/>
    <cellStyle name="Comma 2 2 2" xfId="109"/>
    <cellStyle name="Comma 2 2 3" xfId="110"/>
    <cellStyle name="Comma 2 2 3 2" xfId="417"/>
    <cellStyle name="Comma 2 2 4" xfId="418"/>
    <cellStyle name="Comma 2 2 4 2" xfId="419"/>
    <cellStyle name="Comma 2 2 5" xfId="420"/>
    <cellStyle name="Comma 2 2 5 2" xfId="421"/>
    <cellStyle name="Comma 2 2 6" xfId="422"/>
    <cellStyle name="Comma 2 2 6 2" xfId="423"/>
    <cellStyle name="Comma 2 2 7" xfId="424"/>
    <cellStyle name="Comma 2 2 8" xfId="425"/>
    <cellStyle name="Comma 2 3" xfId="111"/>
    <cellStyle name="Comma 2 4" xfId="112"/>
    <cellStyle name="Comma 2 5" xfId="113"/>
    <cellStyle name="Comma 3" xfId="12"/>
    <cellStyle name="Comma 3 10" xfId="426"/>
    <cellStyle name="Comma 3 2" xfId="114"/>
    <cellStyle name="Comma 3 2 2" xfId="115"/>
    <cellStyle name="Comma 3 2 3" xfId="116"/>
    <cellStyle name="Comma 3 3" xfId="117"/>
    <cellStyle name="Comma 3 3 2" xfId="118"/>
    <cellStyle name="Comma 3 3 3" xfId="119"/>
    <cellStyle name="Comma 3 3 4" xfId="120"/>
    <cellStyle name="Comma 3 4" xfId="121"/>
    <cellStyle name="Comma 3 4 2" xfId="427"/>
    <cellStyle name="Comma 3 5" xfId="428"/>
    <cellStyle name="Comma 3 5 2" xfId="429"/>
    <cellStyle name="Comma 3 6" xfId="430"/>
    <cellStyle name="Comma 3 6 2" xfId="431"/>
    <cellStyle name="Comma 3 7" xfId="432"/>
    <cellStyle name="Comma 3 8" xfId="433"/>
    <cellStyle name="Comma 3 9" xfId="434"/>
    <cellStyle name="Comma 4" xfId="122"/>
    <cellStyle name="Comma 4 2" xfId="123"/>
    <cellStyle name="Comma 4 2 2" xfId="124"/>
    <cellStyle name="Comma 4 3" xfId="125"/>
    <cellStyle name="Comma 5" xfId="126"/>
    <cellStyle name="Comma 5 2" xfId="127"/>
    <cellStyle name="Comma 5 3" xfId="128"/>
    <cellStyle name="Comma 6" xfId="129"/>
    <cellStyle name="Comma 7" xfId="130"/>
    <cellStyle name="Comma 8" xfId="131"/>
    <cellStyle name="Currency" xfId="1" builtinId="4"/>
    <cellStyle name="Currency 2" xfId="132"/>
    <cellStyle name="Currency 2 2" xfId="133"/>
    <cellStyle name="Currency 2 2 2" xfId="134"/>
    <cellStyle name="Currency 2 2 3" xfId="135"/>
    <cellStyle name="Currency 2 3" xfId="136"/>
    <cellStyle name="Currency 2 4" xfId="137"/>
    <cellStyle name="Currency 2 5" xfId="138"/>
    <cellStyle name="Currency 3" xfId="139"/>
    <cellStyle name="Currency 3 2" xfId="140"/>
    <cellStyle name="Currency 3 2 2" xfId="141"/>
    <cellStyle name="Currency 3 2 3" xfId="142"/>
    <cellStyle name="Currency 3 3" xfId="143"/>
    <cellStyle name="Currency 3 4" xfId="144"/>
    <cellStyle name="Currency 3 5" xfId="435"/>
    <cellStyle name="Currency 4" xfId="145"/>
    <cellStyle name="Currency 4 2" xfId="436"/>
    <cellStyle name="Currency 4 3" xfId="437"/>
    <cellStyle name="Currency 5" xfId="146"/>
    <cellStyle name="Currency 5 2" xfId="147"/>
    <cellStyle name="Currency 5 2 2" xfId="148"/>
    <cellStyle name="Currency 5 3" xfId="149"/>
    <cellStyle name="Currency 6" xfId="150"/>
    <cellStyle name="Currency 6 2" xfId="151"/>
    <cellStyle name="Currency 7" xfId="152"/>
    <cellStyle name="Currency 7 2" xfId="153"/>
    <cellStyle name="Currency 8" xfId="154"/>
    <cellStyle name="Data Field" xfId="5"/>
    <cellStyle name="Data Field 2" xfId="155"/>
    <cellStyle name="Data Field 2 2" xfId="156"/>
    <cellStyle name="Data Field 2 3" xfId="157"/>
    <cellStyle name="Data Field 3" xfId="158"/>
    <cellStyle name="Data Field 4" xfId="159"/>
    <cellStyle name="Data Field 5" xfId="438"/>
    <cellStyle name="Data Name" xfId="6"/>
    <cellStyle name="Data Name 2" xfId="439"/>
    <cellStyle name="Data Name 2 2" xfId="440"/>
    <cellStyle name="Data Name 3" xfId="441"/>
    <cellStyle name="Data Name 4" xfId="442"/>
    <cellStyle name="Date/Time" xfId="7"/>
    <cellStyle name="Emphasis 1" xfId="160"/>
    <cellStyle name="Emphasis 2" xfId="161"/>
    <cellStyle name="Emphasis 3" xfId="162"/>
    <cellStyle name="Explanatory Text 2" xfId="163"/>
    <cellStyle name="Explanatory Text 3" xfId="164"/>
    <cellStyle name="Good 2" xfId="165"/>
    <cellStyle name="Good 3" xfId="166"/>
    <cellStyle name="Heading" xfId="8"/>
    <cellStyle name="Heading 1 2" xfId="167"/>
    <cellStyle name="Heading 1 2 2" xfId="168"/>
    <cellStyle name="Heading 1 3" xfId="169"/>
    <cellStyle name="Heading 2 2" xfId="170"/>
    <cellStyle name="Heading 2 3" xfId="171"/>
    <cellStyle name="Heading 3 2" xfId="172"/>
    <cellStyle name="Heading 3 2 2" xfId="173"/>
    <cellStyle name="Heading 3 3" xfId="174"/>
    <cellStyle name="Heading 4 2" xfId="175"/>
    <cellStyle name="Heading 4 2 2" xfId="176"/>
    <cellStyle name="Heading 4 3" xfId="177"/>
    <cellStyle name="Hyperlink 2" xfId="178"/>
    <cellStyle name="Hyperlink 2 2" xfId="179"/>
    <cellStyle name="Hyperlink 2 2 2" xfId="180"/>
    <cellStyle name="Hyperlink 2_ResWXMF_FY10v2_0" xfId="181"/>
    <cellStyle name="Hyperlink 3" xfId="182"/>
    <cellStyle name="Hyperlink 3 2" xfId="183"/>
    <cellStyle name="Hyperlink 3 2 2" xfId="184"/>
    <cellStyle name="Hyperlink 4" xfId="185"/>
    <cellStyle name="Hyperlink 5" xfId="186"/>
    <cellStyle name="Hyperlink 6" xfId="187"/>
    <cellStyle name="Hyperlink 7" xfId="188"/>
    <cellStyle name="Hyperlink 8" xfId="189"/>
    <cellStyle name="Input 2" xfId="190"/>
    <cellStyle name="Input 3" xfId="191"/>
    <cellStyle name="Linked Cell 2" xfId="192"/>
    <cellStyle name="Linked Cell 3" xfId="193"/>
    <cellStyle name="Neutral 2" xfId="194"/>
    <cellStyle name="Neutral 3" xfId="195"/>
    <cellStyle name="Normal" xfId="0" builtinId="0"/>
    <cellStyle name="Normal 10" xfId="196"/>
    <cellStyle name="Normal 10 2" xfId="197"/>
    <cellStyle name="Normal 11" xfId="198"/>
    <cellStyle name="Normal 11 2" xfId="443"/>
    <cellStyle name="Normal 12" xfId="199"/>
    <cellStyle name="Normal 12 2" xfId="444"/>
    <cellStyle name="Normal 13" xfId="14"/>
    <cellStyle name="Normal 13 2" xfId="200"/>
    <cellStyle name="Normal 13 3" xfId="201"/>
    <cellStyle name="Normal 14" xfId="202"/>
    <cellStyle name="Normal 14 2" xfId="203"/>
    <cellStyle name="Normal 14 2 2" xfId="204"/>
    <cellStyle name="Normal 14 3" xfId="205"/>
    <cellStyle name="Normal 14 3 2" xfId="206"/>
    <cellStyle name="Normal 14 4" xfId="207"/>
    <cellStyle name="Normal 15" xfId="208"/>
    <cellStyle name="Normal 15 2" xfId="209"/>
    <cellStyle name="Normal 15 2 2" xfId="210"/>
    <cellStyle name="Normal 15 3" xfId="211"/>
    <cellStyle name="Normal 15 4" xfId="212"/>
    <cellStyle name="Normal 16" xfId="213"/>
    <cellStyle name="Normal 16 2" xfId="214"/>
    <cellStyle name="Normal 16 3" xfId="215"/>
    <cellStyle name="Normal 17" xfId="216"/>
    <cellStyle name="Normal 17 2" xfId="217"/>
    <cellStyle name="Normal 18" xfId="218"/>
    <cellStyle name="Normal 19" xfId="219"/>
    <cellStyle name="Normal 2" xfId="10"/>
    <cellStyle name="Normal 2 10" xfId="445"/>
    <cellStyle name="Normal 2 11" xfId="446"/>
    <cellStyle name="Normal 2 12" xfId="447"/>
    <cellStyle name="Normal 2 2" xfId="13"/>
    <cellStyle name="Normal 2 2 2" xfId="220"/>
    <cellStyle name="Normal 2 2 2 2" xfId="221"/>
    <cellStyle name="Normal 2 2 2 3" xfId="222"/>
    <cellStyle name="Normal 2 2 3" xfId="223"/>
    <cellStyle name="Normal 2 2 3 2" xfId="224"/>
    <cellStyle name="Normal 2 2 3 3" xfId="225"/>
    <cellStyle name="Normal 2 2 4" xfId="226"/>
    <cellStyle name="Normal 2 2 4 2" xfId="448"/>
    <cellStyle name="Normal 2 2 5" xfId="449"/>
    <cellStyle name="Normal 2 3" xfId="227"/>
    <cellStyle name="Normal 2 3 2" xfId="228"/>
    <cellStyle name="Normal 2 3 2 2" xfId="229"/>
    <cellStyle name="Normal 2 3 2 2 2" xfId="230"/>
    <cellStyle name="Normal 2 3 3" xfId="231"/>
    <cellStyle name="Normal 2 3 3 2" xfId="232"/>
    <cellStyle name="Normal 2 4" xfId="233"/>
    <cellStyle name="Normal 2 4 2" xfId="234"/>
    <cellStyle name="Normal 2 4 2 2" xfId="235"/>
    <cellStyle name="Normal 2 4 2 3" xfId="236"/>
    <cellStyle name="Normal 2 4 2 4" xfId="237"/>
    <cellStyle name="Normal 2 4 3" xfId="238"/>
    <cellStyle name="Normal 2 5" xfId="239"/>
    <cellStyle name="Normal 2 5 2" xfId="450"/>
    <cellStyle name="Normal 2 6" xfId="240"/>
    <cellStyle name="Normal 2 6 2" xfId="241"/>
    <cellStyle name="Normal 2 6 2 2" xfId="242"/>
    <cellStyle name="Normal 2 6 2 3" xfId="243"/>
    <cellStyle name="Normal 2 6 3" xfId="244"/>
    <cellStyle name="Normal 2 6 3 2" xfId="245"/>
    <cellStyle name="Normal 2 6 4" xfId="246"/>
    <cellStyle name="Normal 2 6 4 2" xfId="247"/>
    <cellStyle name="Normal 2 6 5" xfId="248"/>
    <cellStyle name="Normal 2 6 6" xfId="249"/>
    <cellStyle name="Normal 2 7" xfId="250"/>
    <cellStyle name="Normal 2 7 2" xfId="251"/>
    <cellStyle name="Normal 2 7 2 2" xfId="252"/>
    <cellStyle name="Normal 2 7 3" xfId="253"/>
    <cellStyle name="Normal 2 8" xfId="254"/>
    <cellStyle name="Normal 2 8 2" xfId="451"/>
    <cellStyle name="Normal 2 9" xfId="255"/>
    <cellStyle name="Normal 2 9 2" xfId="452"/>
    <cellStyle name="Normal 20" xfId="256"/>
    <cellStyle name="Normal 21" xfId="257"/>
    <cellStyle name="Normal 22" xfId="258"/>
    <cellStyle name="Normal 23" xfId="259"/>
    <cellStyle name="Normal 24" xfId="260"/>
    <cellStyle name="Normal 25" xfId="261"/>
    <cellStyle name="Normal 26" xfId="262"/>
    <cellStyle name="Normal 27" xfId="263"/>
    <cellStyle name="Normal 28" xfId="264"/>
    <cellStyle name="Normal 29" xfId="265"/>
    <cellStyle name="Normal 3" xfId="266"/>
    <cellStyle name="Normal 3 2" xfId="267"/>
    <cellStyle name="Normal 3 2 2" xfId="268"/>
    <cellStyle name="Normal 3 2 3" xfId="269"/>
    <cellStyle name="Normal 3 3" xfId="270"/>
    <cellStyle name="Normal 3 3 2" xfId="271"/>
    <cellStyle name="Normal 3 3 2 2" xfId="272"/>
    <cellStyle name="Normal 3 4" xfId="273"/>
    <cellStyle name="Normal 3 4 2" xfId="453"/>
    <cellStyle name="Normal 3 5" xfId="454"/>
    <cellStyle name="Normal 3 66" xfId="274"/>
    <cellStyle name="Normal 30" xfId="275"/>
    <cellStyle name="Normal 31" xfId="276"/>
    <cellStyle name="Normal 32" xfId="277"/>
    <cellStyle name="Normal 33" xfId="278"/>
    <cellStyle name="Normal 34" xfId="279"/>
    <cellStyle name="Normal 35" xfId="280"/>
    <cellStyle name="Normal 36" xfId="281"/>
    <cellStyle name="Normal 37" xfId="282"/>
    <cellStyle name="Normal 38" xfId="283"/>
    <cellStyle name="Normal 39" xfId="284"/>
    <cellStyle name="Normal 4" xfId="285"/>
    <cellStyle name="Normal 4 2" xfId="286"/>
    <cellStyle name="Normal 4 2 2" xfId="455"/>
    <cellStyle name="Normal 4 3" xfId="287"/>
    <cellStyle name="Normal 4 3 2" xfId="288"/>
    <cellStyle name="Normal 4 3 2 2" xfId="289"/>
    <cellStyle name="Normal 4 3 2 3" xfId="290"/>
    <cellStyle name="Normal 4 3 3" xfId="291"/>
    <cellStyle name="Normal 4 4" xfId="292"/>
    <cellStyle name="Normal 4 4 2" xfId="293"/>
    <cellStyle name="Normal 4 4 3" xfId="294"/>
    <cellStyle name="Normal 4 5" xfId="295"/>
    <cellStyle name="Normal 4 5 2" xfId="296"/>
    <cellStyle name="Normal 4 5 3" xfId="297"/>
    <cellStyle name="Normal 4 6" xfId="298"/>
    <cellStyle name="Normal 4 7" xfId="299"/>
    <cellStyle name="Normal 40" xfId="300"/>
    <cellStyle name="Normal 41" xfId="301"/>
    <cellStyle name="Normal 42" xfId="302"/>
    <cellStyle name="Normal 43" xfId="303"/>
    <cellStyle name="Normal 44" xfId="304"/>
    <cellStyle name="Normal 45" xfId="305"/>
    <cellStyle name="Normal 46" xfId="306"/>
    <cellStyle name="Normal 47" xfId="307"/>
    <cellStyle name="Normal 48" xfId="308"/>
    <cellStyle name="Normal 48 2" xfId="309"/>
    <cellStyle name="Normal 49" xfId="310"/>
    <cellStyle name="Normal 5" xfId="311"/>
    <cellStyle name="Normal 5 2" xfId="312"/>
    <cellStyle name="Normal 5 2 2" xfId="456"/>
    <cellStyle name="Normal 5 3" xfId="457"/>
    <cellStyle name="Normal 5 3 2" xfId="458"/>
    <cellStyle name="Normal 5 4" xfId="459"/>
    <cellStyle name="Normal 5 4 2" xfId="460"/>
    <cellStyle name="Normal 5 5" xfId="461"/>
    <cellStyle name="Normal 5 5 2" xfId="462"/>
    <cellStyle name="Normal 5 6" xfId="463"/>
    <cellStyle name="Normal 5 6 2" xfId="464"/>
    <cellStyle name="Normal 5 7" xfId="465"/>
    <cellStyle name="Normal 50" xfId="313"/>
    <cellStyle name="Normal 6" xfId="314"/>
    <cellStyle name="Normal 7" xfId="315"/>
    <cellStyle name="Normal 7 2" xfId="316"/>
    <cellStyle name="Normal 7 2 2" xfId="466"/>
    <cellStyle name="Normal 7 3" xfId="467"/>
    <cellStyle name="Normal 8" xfId="317"/>
    <cellStyle name="Normal 8 2" xfId="318"/>
    <cellStyle name="Normal 8 2 2" xfId="468"/>
    <cellStyle name="Normal 8 3" xfId="469"/>
    <cellStyle name="Normal 9" xfId="319"/>
    <cellStyle name="Normal 9 2" xfId="320"/>
    <cellStyle name="Normal 9 3" xfId="321"/>
    <cellStyle name="Normal_EStarWASHERResTiersFY07v1_3_postJan07" xfId="4"/>
    <cellStyle name="Normal_MTDUCT" xfId="2"/>
    <cellStyle name="Normal_PC-LPDPackage-6P-D14" xfId="15"/>
    <cellStyle name="Normal_ProCostFinAssumptions_Sector" xfId="3"/>
    <cellStyle name="Note 2" xfId="322"/>
    <cellStyle name="Note 2 2" xfId="323"/>
    <cellStyle name="Note 2 2 2" xfId="470"/>
    <cellStyle name="Note 2 3" xfId="471"/>
    <cellStyle name="Note 2 3 2" xfId="472"/>
    <cellStyle name="Note 2 4" xfId="473"/>
    <cellStyle name="Note 2 4 2" xfId="474"/>
    <cellStyle name="Note 2 5" xfId="475"/>
    <cellStyle name="Note 3" xfId="324"/>
    <cellStyle name="Output 2" xfId="325"/>
    <cellStyle name="Output 2 2" xfId="326"/>
    <cellStyle name="Output 3" xfId="327"/>
    <cellStyle name="Percent" xfId="9" builtinId="5"/>
    <cellStyle name="Percent 2" xfId="328"/>
    <cellStyle name="Percent 2 10" xfId="476"/>
    <cellStyle name="Percent 2 2" xfId="329"/>
    <cellStyle name="Percent 2 2 2" xfId="330"/>
    <cellStyle name="Percent 2 2 2 2" xfId="331"/>
    <cellStyle name="Percent 2 2 2 3" xfId="332"/>
    <cellStyle name="Percent 2 2 3" xfId="333"/>
    <cellStyle name="Percent 2 2 4" xfId="334"/>
    <cellStyle name="Percent 2 3" xfId="335"/>
    <cellStyle name="Percent 2 3 2" xfId="336"/>
    <cellStyle name="Percent 2 3 2 2" xfId="477"/>
    <cellStyle name="Percent 2 3 2 2 2" xfId="478"/>
    <cellStyle name="Percent 2 3 2 3" xfId="479"/>
    <cellStyle name="Percent 2 3 2 3 2" xfId="480"/>
    <cellStyle name="Percent 2 3 2 4" xfId="481"/>
    <cellStyle name="Percent 2 3 2 4 2" xfId="482"/>
    <cellStyle name="Percent 2 3 2 5" xfId="483"/>
    <cellStyle name="Percent 2 3 2 6" xfId="484"/>
    <cellStyle name="Percent 2 3 3" xfId="337"/>
    <cellStyle name="Percent 2 4" xfId="485"/>
    <cellStyle name="Percent 2 4 2" xfId="486"/>
    <cellStyle name="Percent 2 4 3" xfId="487"/>
    <cellStyle name="Percent 2 5" xfId="488"/>
    <cellStyle name="Percent 2 5 2" xfId="489"/>
    <cellStyle name="Percent 2 6" xfId="490"/>
    <cellStyle name="Percent 2 6 2" xfId="491"/>
    <cellStyle name="Percent 2 7" xfId="492"/>
    <cellStyle name="Percent 2 7 2" xfId="493"/>
    <cellStyle name="Percent 2 8" xfId="494"/>
    <cellStyle name="Percent 2 9" xfId="495"/>
    <cellStyle name="Percent 3" xfId="11"/>
    <cellStyle name="Percent 3 2" xfId="338"/>
    <cellStyle name="Percent 3 2 2" xfId="339"/>
    <cellStyle name="Percent 3 2 2 2" xfId="496"/>
    <cellStyle name="Percent 3 2 3" xfId="340"/>
    <cellStyle name="Percent 3 2 3 2" xfId="497"/>
    <cellStyle name="Percent 3 2 4" xfId="498"/>
    <cellStyle name="Percent 3 2 4 2" xfId="499"/>
    <cellStyle name="Percent 3 2 5" xfId="500"/>
    <cellStyle name="Percent 3 2 5 2" xfId="501"/>
    <cellStyle name="Percent 3 2 6" xfId="502"/>
    <cellStyle name="Percent 3 2 7" xfId="503"/>
    <cellStyle name="Percent 3 2 8" xfId="504"/>
    <cellStyle name="Percent 3 3" xfId="341"/>
    <cellStyle name="Percent 3 4" xfId="342"/>
    <cellStyle name="Percent 3 5" xfId="505"/>
    <cellStyle name="Percent 4" xfId="343"/>
    <cellStyle name="Percent 4 2" xfId="344"/>
    <cellStyle name="Percent 4 2 2" xfId="506"/>
    <cellStyle name="Percent 4 3" xfId="507"/>
    <cellStyle name="Percent 5" xfId="345"/>
    <cellStyle name="Percent 5 2" xfId="508"/>
    <cellStyle name="Percent 6" xfId="346"/>
    <cellStyle name="Percent 6 2" xfId="347"/>
    <cellStyle name="Percent 7" xfId="348"/>
    <cellStyle name="Percent 8" xfId="349"/>
    <cellStyle name="Sheet Title" xfId="350"/>
    <cellStyle name="Style 1" xfId="351"/>
    <cellStyle name="Style 1 2" xfId="352"/>
    <cellStyle name="Style 28" xfId="353"/>
    <cellStyle name="Title 2" xfId="354"/>
    <cellStyle name="Title 2 2" xfId="355"/>
    <cellStyle name="Title 3" xfId="356"/>
    <cellStyle name="Total 2" xfId="357"/>
    <cellStyle name="Total 2 2" xfId="358"/>
    <cellStyle name="Total 3" xfId="359"/>
    <cellStyle name="Warning Text 2" xfId="360"/>
    <cellStyle name="Warning Text 3" xfId="361"/>
    <cellStyle name="표준 2_WP-1 보고자료 (2009.06.03)" xfId="362"/>
    <cellStyle name="표준_ENERGY CONSUMP" xfId="363"/>
    <cellStyle name="常规_海外市场服务网站资料操作BOM" xfId="36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strRef>
          <c:f>'SC-New'!$A$19</c:f>
          <c:strCache>
            <c:ptCount val="1"/>
            <c:pt idx="0">
              <c:v># HOMES APPLICABLE BY YEAR FOR MEASURE - HPWH - New</c:v>
            </c:pt>
          </c:strCache>
        </c:strRef>
      </c:tx>
      <c:layout>
        <c:manualLayout>
          <c:xMode val="edge"/>
          <c:yMode val="edge"/>
          <c:x val="0.27677829502253981"/>
          <c:y val="3.2608695652174668E-2"/>
        </c:manualLayout>
      </c:layout>
      <c:spPr>
        <a:noFill/>
        <a:ln w="25400">
          <a:noFill/>
        </a:ln>
      </c:spPr>
      <c:txPr>
        <a:bodyPr/>
        <a:lstStyle/>
        <a:p>
          <a:pPr>
            <a:defRPr sz="1125" b="1" i="0" u="none" strike="noStrike" baseline="0">
              <a:solidFill>
                <a:srgbClr val="000000"/>
              </a:solidFill>
              <a:latin typeface="Arial"/>
              <a:ea typeface="Arial"/>
              <a:cs typeface="Arial"/>
            </a:defRPr>
          </a:pPr>
          <a:endParaRPr lang="en-US"/>
        </a:p>
      </c:txPr>
    </c:title>
    <c:plotArea>
      <c:layout>
        <c:manualLayout>
          <c:layoutTarget val="inner"/>
          <c:xMode val="edge"/>
          <c:yMode val="edge"/>
          <c:x val="0.11996582446797532"/>
          <c:y val="0.14402173913043756"/>
          <c:w val="0.79605893521962634"/>
          <c:h val="0.67391304347826164"/>
        </c:manualLayout>
      </c:layout>
      <c:barChart>
        <c:barDir val="col"/>
        <c:grouping val="stacked"/>
        <c:ser>
          <c:idx val="0"/>
          <c:order val="0"/>
          <c:tx>
            <c:strRef>
              <c:f>'SC-New'!$C$21</c:f>
              <c:strCache>
                <c:ptCount val="1"/>
                <c:pt idx="0">
                  <c:v>Single Family</c:v>
                </c:pt>
              </c:strCache>
            </c:strRef>
          </c:tx>
          <c:spPr>
            <a:solidFill>
              <a:srgbClr val="9999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'SC-New'!$E$21:$Y$21</c:f>
              <c:numCache>
                <c:formatCode>0</c:formatCode>
                <c:ptCount val="21"/>
                <c:pt idx="0">
                  <c:v>32839.539607580402</c:v>
                </c:pt>
                <c:pt idx="1">
                  <c:v>31412.513998443599</c:v>
                </c:pt>
                <c:pt idx="2">
                  <c:v>29773.952136907203</c:v>
                </c:pt>
                <c:pt idx="3">
                  <c:v>28805.4009739908</c:v>
                </c:pt>
                <c:pt idx="4">
                  <c:v>28031.260046234402</c:v>
                </c:pt>
                <c:pt idx="5">
                  <c:v>26708.252032979999</c:v>
                </c:pt>
                <c:pt idx="6">
                  <c:v>25964.1490843764</c:v>
                </c:pt>
                <c:pt idx="7">
                  <c:v>25839.911461960797</c:v>
                </c:pt>
                <c:pt idx="8">
                  <c:v>25573.390798212</c:v>
                </c:pt>
                <c:pt idx="9">
                  <c:v>26027.843451451201</c:v>
                </c:pt>
                <c:pt idx="10">
                  <c:v>26209.568038957204</c:v>
                </c:pt>
                <c:pt idx="11">
                  <c:v>25873.043974282802</c:v>
                </c:pt>
                <c:pt idx="12">
                  <c:v>25187.596233357599</c:v>
                </c:pt>
                <c:pt idx="13">
                  <c:v>25213.6354700556</c:v>
                </c:pt>
                <c:pt idx="14">
                  <c:v>25507.801049216403</c:v>
                </c:pt>
                <c:pt idx="15">
                  <c:v>25398.989467718398</c:v>
                </c:pt>
                <c:pt idx="16">
                  <c:v>24558.764776275599</c:v>
                </c:pt>
                <c:pt idx="17">
                  <c:v>24516.737904016802</c:v>
                </c:pt>
                <c:pt idx="18">
                  <c:v>24578.9999952012</c:v>
                </c:pt>
                <c:pt idx="19">
                  <c:v>24745.863803561999</c:v>
                </c:pt>
              </c:numCache>
            </c:numRef>
          </c:val>
        </c:ser>
        <c:ser>
          <c:idx val="1"/>
          <c:order val="1"/>
          <c:tx>
            <c:strRef>
              <c:f>'SC-New'!#REF!</c:f>
              <c:strCache>
                <c:ptCount val="1"/>
                <c:pt idx="0">
                  <c:v>#REF!</c:v>
                </c:pt>
              </c:strCache>
            </c:strRef>
          </c:tx>
          <c:spPr>
            <a:solidFill>
              <a:srgbClr val="9933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2"/>
          <c:order val="2"/>
          <c:tx>
            <c:strRef>
              <c:f>'SC-New'!#REF!</c:f>
              <c:strCache>
                <c:ptCount val="1"/>
                <c:pt idx="0">
                  <c:v>#REF!</c:v>
                </c:pt>
              </c:strCache>
            </c:strRef>
          </c:tx>
          <c:spPr>
            <a:solidFill>
              <a:srgbClr val="FFFF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3"/>
          <c:order val="3"/>
          <c:tx>
            <c:strRef>
              <c:f>'SC-New'!$C$22</c:f>
              <c:strCache>
                <c:ptCount val="1"/>
                <c:pt idx="0">
                  <c:v>Manufactured</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'SC-New'!$E$22:$Y$22</c:f>
              <c:numCache>
                <c:formatCode>0</c:formatCode>
                <c:ptCount val="21"/>
                <c:pt idx="0">
                  <c:v>1578.9499083709488</c:v>
                </c:pt>
                <c:pt idx="1">
                  <c:v>1589.2710701827739</c:v>
                </c:pt>
                <c:pt idx="2">
                  <c:v>1646.1411396299027</c:v>
                </c:pt>
                <c:pt idx="3">
                  <c:v>1707.0013865682197</c:v>
                </c:pt>
                <c:pt idx="4">
                  <c:v>1654.9009367254234</c:v>
                </c:pt>
                <c:pt idx="5">
                  <c:v>1628.7792287039661</c:v>
                </c:pt>
                <c:pt idx="6">
                  <c:v>1634.1739450302057</c:v>
                </c:pt>
                <c:pt idx="7">
                  <c:v>1643.3779511400821</c:v>
                </c:pt>
                <c:pt idx="8">
                  <c:v>1652.3957646329666</c:v>
                </c:pt>
                <c:pt idx="9">
                  <c:v>1653.4382021334773</c:v>
                </c:pt>
                <c:pt idx="10">
                  <c:v>1644.5110047276867</c:v>
                </c:pt>
                <c:pt idx="11">
                  <c:v>1642.7793493947306</c:v>
                </c:pt>
                <c:pt idx="12">
                  <c:v>1645.1127028431915</c:v>
                </c:pt>
                <c:pt idx="13">
                  <c:v>1646.9358291453557</c:v>
                </c:pt>
                <c:pt idx="14">
                  <c:v>1647.5288088129018</c:v>
                </c:pt>
                <c:pt idx="15">
                  <c:v>1646.7176495095573</c:v>
                </c:pt>
                <c:pt idx="16">
                  <c:v>1645.5975574055706</c:v>
                </c:pt>
                <c:pt idx="17">
                  <c:v>1645.7786495185517</c:v>
                </c:pt>
                <c:pt idx="18">
                  <c:v>1646.2785328725215</c:v>
                </c:pt>
                <c:pt idx="19">
                  <c:v>1646.4728378774098</c:v>
                </c:pt>
              </c:numCache>
            </c:numRef>
          </c:val>
        </c:ser>
        <c:ser>
          <c:idx val="4"/>
          <c:order val="4"/>
          <c:tx>
            <c:strRef>
              <c:f>'SC-New'!#REF!</c:f>
              <c:strCache>
                <c:ptCount val="1"/>
                <c:pt idx="0">
                  <c:v>#REF!</c:v>
                </c:pt>
              </c:strCache>
            </c:strRef>
          </c:tx>
          <c:spPr>
            <a:solidFill>
              <a:srgbClr val="6600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5"/>
          <c:order val="5"/>
          <c:tx>
            <c:strRef>
              <c:f>'SC-New'!#REF!</c:f>
              <c:strCache>
                <c:ptCount val="1"/>
                <c:pt idx="0">
                  <c:v>#REF!</c:v>
                </c:pt>
              </c:strCache>
            </c:strRef>
          </c:tx>
          <c:spPr>
            <a:solidFill>
              <a:srgbClr val="FF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6"/>
          <c:order val="6"/>
          <c:tx>
            <c:strRef>
              <c:f>'SC-New'!#REF!</c:f>
              <c:strCache>
                <c:ptCount val="1"/>
                <c:pt idx="0">
                  <c:v>#REF!</c:v>
                </c:pt>
              </c:strCache>
            </c:strRef>
          </c:tx>
          <c:spPr>
            <a:solidFill>
              <a:srgbClr val="0066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7"/>
          <c:order val="7"/>
          <c:tx>
            <c:strRef>
              <c:f>'SC-New'!#REF!</c:f>
              <c:strCache>
                <c:ptCount val="1"/>
                <c:pt idx="0">
                  <c:v>#REF!</c:v>
                </c:pt>
              </c:strCache>
            </c:strRef>
          </c:tx>
          <c:spPr>
            <a:solidFill>
              <a:srgbClr val="CC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8"/>
          <c:order val="8"/>
          <c:tx>
            <c:strRef>
              <c:f>'SC-New'!#REF!</c:f>
              <c:strCache>
                <c:ptCount val="1"/>
                <c:pt idx="0">
                  <c:v>#REF!</c:v>
                </c:pt>
              </c:strCache>
            </c:strRef>
          </c:tx>
          <c:spPr>
            <a:solidFill>
              <a:srgbClr val="0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9"/>
          <c:order val="9"/>
          <c:tx>
            <c:strRef>
              <c:f>'SC-New'!#REF!</c:f>
              <c:strCache>
                <c:ptCount val="1"/>
                <c:pt idx="0">
                  <c:v>#REF!</c:v>
                </c:pt>
              </c:strCache>
            </c:strRef>
          </c:tx>
          <c:spPr>
            <a:solidFill>
              <a:srgbClr val="FF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0"/>
          <c:order val="10"/>
          <c:tx>
            <c:strRef>
              <c:f>'SC-New'!#REF!</c:f>
              <c:strCache>
                <c:ptCount val="1"/>
                <c:pt idx="0">
                  <c:v>#REF!</c:v>
                </c:pt>
              </c:strCache>
            </c:strRef>
          </c:tx>
          <c:spPr>
            <a:solidFill>
              <a:srgbClr val="FFFF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1"/>
          <c:order val="11"/>
          <c:tx>
            <c:strRef>
              <c:f>'SC-New'!#REF!</c:f>
              <c:strCache>
                <c:ptCount val="1"/>
                <c:pt idx="0">
                  <c:v>#REF!</c:v>
                </c:pt>
              </c:strCache>
            </c:strRef>
          </c:tx>
          <c:spPr>
            <a:solidFill>
              <a:srgbClr val="00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2"/>
          <c:order val="12"/>
          <c:tx>
            <c:strRef>
              <c:f>'SC-New'!#REF!</c:f>
              <c:strCache>
                <c:ptCount val="1"/>
                <c:pt idx="0">
                  <c:v>#REF!</c:v>
                </c:pt>
              </c:strCache>
            </c:strRef>
          </c:tx>
          <c:spPr>
            <a:solidFill>
              <a:srgbClr val="8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3"/>
          <c:order val="13"/>
          <c:tx>
            <c:strRef>
              <c:f>'SC-New'!#REF!</c:f>
              <c:strCache>
                <c:ptCount val="1"/>
                <c:pt idx="0">
                  <c:v>#REF!</c:v>
                </c:pt>
              </c:strCache>
            </c:strRef>
          </c:tx>
          <c:spPr>
            <a:solidFill>
              <a:srgbClr val="8000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4"/>
          <c:order val="14"/>
          <c:tx>
            <c:strRef>
              <c:f>'SC-New'!#REF!</c:f>
              <c:strCache>
                <c:ptCount val="1"/>
                <c:pt idx="0">
                  <c:v>#REF!</c:v>
                </c:pt>
              </c:strCache>
            </c:strRef>
          </c:tx>
          <c:spPr>
            <a:solidFill>
              <a:srgbClr val="00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5"/>
          <c:order val="15"/>
          <c:tx>
            <c:strRef>
              <c:f>'SC-New'!#REF!</c:f>
              <c:strCache>
                <c:ptCount val="1"/>
                <c:pt idx="0">
                  <c:v>#REF!</c:v>
                </c:pt>
              </c:strCache>
            </c:strRef>
          </c:tx>
          <c:spPr>
            <a:solidFill>
              <a:srgbClr val="00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6"/>
          <c:order val="16"/>
          <c:tx>
            <c:strRef>
              <c:f>'SC-New'!#REF!</c:f>
              <c:strCache>
                <c:ptCount val="1"/>
                <c:pt idx="0">
                  <c:v>#REF!</c:v>
                </c:pt>
              </c:strCache>
            </c:strRef>
          </c:tx>
          <c:spPr>
            <a:solidFill>
              <a:srgbClr val="00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7"/>
          <c:order val="17"/>
          <c:tx>
            <c:strRef>
              <c:f>'SC-New'!#REF!</c:f>
              <c:strCache>
                <c:ptCount val="1"/>
                <c:pt idx="0">
                  <c:v>#REF!</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overlap val="100"/>
        <c:axId val="107807104"/>
        <c:axId val="107808640"/>
      </c:barChart>
      <c:catAx>
        <c:axId val="107807104"/>
        <c:scaling>
          <c:orientation val="minMax"/>
        </c:scaling>
        <c:axPos val="b"/>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7808640"/>
        <c:crosses val="autoZero"/>
        <c:auto val="1"/>
        <c:lblAlgn val="ctr"/>
        <c:lblOffset val="100"/>
        <c:tickLblSkip val="1"/>
        <c:tickMarkSkip val="1"/>
      </c:catAx>
      <c:valAx>
        <c:axId val="107808640"/>
        <c:scaling>
          <c:orientation val="minMax"/>
        </c:scaling>
        <c:axPos val="l"/>
        <c:majorGridlines>
          <c:spPr>
            <a:ln w="3175">
              <a:solidFill>
                <a:srgbClr val="000000"/>
              </a:solidFill>
              <a:prstDash val="solid"/>
            </a:ln>
          </c:spPr>
        </c:majorGridlines>
        <c:title>
          <c:tx>
            <c:strRef>
              <c:f>'SC-New'!$C$11</c:f>
              <c:strCache>
                <c:ptCount val="1"/>
                <c:pt idx="0">
                  <c:v># homes</c:v>
                </c:pt>
              </c:strCache>
            </c:strRef>
          </c:tx>
          <c:layout>
            <c:manualLayout>
              <c:xMode val="edge"/>
              <c:yMode val="edge"/>
              <c:x val="7.0265697188384713E-2"/>
              <c:y val="0.40489130434782838"/>
            </c:manualLayout>
          </c:layout>
          <c:spPr>
            <a:noFill/>
            <a:ln w="25400">
              <a:noFill/>
            </a:ln>
          </c:spPr>
          <c:txPr>
            <a:bodyPr/>
            <a:lstStyle/>
            <a:p>
              <a:pPr>
                <a:defRPr sz="900" b="1" i="0" u="none" strike="noStrike" baseline="0">
                  <a:solidFill>
                    <a:srgbClr val="000000"/>
                  </a:solidFill>
                  <a:latin typeface="Arial"/>
                  <a:ea typeface="Arial"/>
                  <a:cs typeface="Arial"/>
                </a:defRPr>
              </a:pPr>
              <a:endParaRPr lang="en-US"/>
            </a:p>
          </c:txPr>
        </c:title>
        <c:numFmt formatCode="0"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7807104"/>
        <c:crosses val="autoZero"/>
        <c:crossBetween val="between"/>
      </c:valAx>
      <c:spPr>
        <a:solidFill>
          <a:srgbClr val="C0C0C0"/>
        </a:solidFill>
        <a:ln w="12700">
          <a:solidFill>
            <a:srgbClr val="808080"/>
          </a:solidFill>
          <a:prstDash val="solid"/>
        </a:ln>
      </c:spPr>
    </c:plotArea>
    <c:legend>
      <c:legendPos val="r"/>
      <c:layout>
        <c:manualLayout>
          <c:xMode val="edge"/>
          <c:yMode val="edge"/>
          <c:x val="0.92545064589579806"/>
          <c:y val="5.9782608695652183E-2"/>
          <c:w val="6.7695000949785533E-2"/>
          <c:h val="0.9320652173913076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944" r="0.750000000000009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247650</xdr:colOff>
      <xdr:row>18</xdr:row>
      <xdr:rowOff>152400</xdr:rowOff>
    </xdr:from>
    <xdr:to>
      <xdr:col>39</xdr:col>
      <xdr:colOff>190500</xdr:colOff>
      <xdr:row>24</xdr:row>
      <xdr:rowOff>95250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16</xdr:col>
      <xdr:colOff>257175</xdr:colOff>
      <xdr:row>59</xdr:row>
      <xdr:rowOff>142875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219200" y="1295400"/>
          <a:ext cx="9401175" cy="4076700"/>
        </a:xfrm>
        <a:prstGeom prst="rect">
          <a:avLst/>
        </a:prstGeom>
        <a:noFill/>
        <a:ln w="1">
          <a:noFill/>
          <a:miter lim="800000"/>
          <a:headEnd/>
          <a:tailEnd type="none" w="med" len="med"/>
        </a:ln>
        <a:effectLst/>
      </xdr:spPr>
    </xdr:pic>
    <xdr:clientData/>
  </xdr:twoCellAnchor>
  <xdr:twoCellAnchor editAs="oneCell">
    <xdr:from>
      <xdr:col>1</xdr:col>
      <xdr:colOff>0</xdr:colOff>
      <xdr:row>66</xdr:row>
      <xdr:rowOff>0</xdr:rowOff>
    </xdr:from>
    <xdr:to>
      <xdr:col>16</xdr:col>
      <xdr:colOff>57150</xdr:colOff>
      <xdr:row>91</xdr:row>
      <xdr:rowOff>114300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219200" y="6429375"/>
          <a:ext cx="9201150" cy="42005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2095500</xdr:colOff>
      <xdr:row>7</xdr:row>
      <xdr:rowOff>0</xdr:rowOff>
    </xdr:from>
    <xdr:to>
      <xdr:col>1</xdr:col>
      <xdr:colOff>1019175</xdr:colOff>
      <xdr:row>7</xdr:row>
      <xdr:rowOff>0</xdr:rowOff>
    </xdr:to>
    <xdr:sp macro="" textlink="">
      <xdr:nvSpPr>
        <xdr:cNvPr id="2" name="AutoShape 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 name="AutoShape 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 name="AutoShape 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 name="AutoShape 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6" name="AutoShape 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7" name="AutoShape 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8" name="AutoShape 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9" name="AutoShape 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0" name="AutoShape 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1" name="AutoShape 1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2" name="AutoShape 1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3" name="AutoShape 1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4" name="AutoShape 1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5" name="AutoShape 1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6" name="AutoShape 1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7" name="AutoShape 1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8" name="AutoShape 1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9" name="AutoShape 1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0" name="AutoShape 1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1" name="AutoShape 2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2" name="AutoShape 2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3" name="AutoShape 2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4" name="AutoShape 2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5" name="AutoShape 2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6" name="AutoShape 2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7" name="AutoShape 2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8" name="AutoShape 2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20DHW/Res_HPWH_v2_0.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row>
        <row r="81">
          <cell r="A81" t="str">
            <v>HVAC</v>
          </cell>
          <cell r="B81" t="str">
            <v>Whole house/attic fan - New</v>
          </cell>
          <cell r="C81" t="str">
            <v>LO12Med</v>
          </cell>
          <cell r="D81">
            <v>0.10937459468255628</v>
          </cell>
          <cell r="E81">
            <v>0.21874918936511256</v>
          </cell>
          <cell r="F81">
            <v>0.32812378404766884</v>
          </cell>
        </row>
        <row r="82">
          <cell r="A82" t="str">
            <v>HVAC</v>
          </cell>
          <cell r="B82" t="str">
            <v>Whole house/attic fan - Retro</v>
          </cell>
          <cell r="C82" t="str">
            <v>Retro12Med</v>
          </cell>
          <cell r="D82">
            <v>0.10937459468255628</v>
          </cell>
          <cell r="E82">
            <v>0.10937459468255628</v>
          </cell>
          <cell r="F82">
            <v>0.10937459468255628</v>
          </cell>
        </row>
        <row r="83">
          <cell r="A83" t="str">
            <v>Water heating</v>
          </cell>
          <cell r="B83" t="str">
            <v>WH Pipe insulation - Retro</v>
          </cell>
          <cell r="C83" t="str">
            <v>Retro12Med</v>
          </cell>
          <cell r="D83">
            <v>0.10937459468255628</v>
          </cell>
          <cell r="E83">
            <v>0.10937459468255628</v>
          </cell>
          <cell r="F83">
            <v>0.10937459468255628</v>
          </cell>
        </row>
        <row r="84">
          <cell r="A84" t="str">
            <v>HVAC</v>
          </cell>
          <cell r="B84" t="str">
            <v>DHP Ducted - NR</v>
          </cell>
          <cell r="C84" t="str">
            <v>LO12Med</v>
          </cell>
          <cell r="D84">
            <v>0.10937459468255628</v>
          </cell>
          <cell r="E84">
            <v>0.21874918936511256</v>
          </cell>
          <cell r="F84">
            <v>0.32812378404766884</v>
          </cell>
        </row>
        <row r="85">
          <cell r="A85" t="str">
            <v>Electronics</v>
          </cell>
          <cell r="B85" t="str">
            <v>Advanced Power Strips - New</v>
          </cell>
          <cell r="C85" t="str">
            <v>LO5Med</v>
          </cell>
          <cell r="D85">
            <v>4.2999999999999997E-2</v>
          </cell>
          <cell r="E85">
            <v>9.5797142280278316E-2</v>
          </cell>
          <cell r="F85">
            <v>0.16040539374775648</v>
          </cell>
        </row>
        <row r="86">
          <cell r="A86" t="str">
            <v>Electronics</v>
          </cell>
          <cell r="B86" t="str">
            <v>Advanced Power Strips - Retro</v>
          </cell>
          <cell r="C86" t="str">
            <v>Retro5Med</v>
          </cell>
          <cell r="D86">
            <v>4.2999999999999997E-2</v>
          </cell>
          <cell r="E86">
            <v>5.279714228027832E-2</v>
          </cell>
          <cell r="F86">
            <v>6.4608251467478173E-2</v>
          </cell>
        </row>
        <row r="87">
          <cell r="A87" t="str">
            <v>HVAC</v>
          </cell>
          <cell r="B87" t="str">
            <v>Controls Commissioning and Sizing - New</v>
          </cell>
          <cell r="C87" t="str">
            <v>LO5Med</v>
          </cell>
          <cell r="D87">
            <v>4.2999999999999997E-2</v>
          </cell>
          <cell r="E87">
            <v>9.5797142280278316E-2</v>
          </cell>
          <cell r="F87">
            <v>0.16040539374775648</v>
          </cell>
        </row>
        <row r="88">
          <cell r="A88" t="str">
            <v>HVAC</v>
          </cell>
          <cell r="B88" t="str">
            <v>Controls Commissioning and Sizing - NR</v>
          </cell>
          <cell r="C88" t="str">
            <v>LO5Med</v>
          </cell>
          <cell r="D88">
            <v>4.2999999999999997E-2</v>
          </cell>
          <cell r="E88">
            <v>9.5797142280278316E-2</v>
          </cell>
          <cell r="F88">
            <v>0.16040539374775648</v>
          </cell>
        </row>
        <row r="89">
          <cell r="A89" t="str">
            <v>HVAC</v>
          </cell>
          <cell r="B89" t="str">
            <v>ResWx - Retro</v>
          </cell>
          <cell r="C89" t="str">
            <v>Retro12Med</v>
          </cell>
          <cell r="D89">
            <v>0.10937459468255628</v>
          </cell>
          <cell r="E89">
            <v>0.10937459468255628</v>
          </cell>
          <cell r="F89">
            <v>0.10937459468255628</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ummary"/>
      <sheetName val="SummaryRUL"/>
      <sheetName val="Checklist"/>
      <sheetName val="MeasureTable"/>
      <sheetName val="ProData"/>
      <sheetName val="Measure_InputOutput"/>
      <sheetName val="LookupTable"/>
      <sheetName val="ValidationLists"/>
      <sheetName val="Supporting Documentation"/>
      <sheetName val="Presentation"/>
      <sheetName val="finallookup"/>
      <sheetName val="SavingsData&amp;Analysis"/>
      <sheetName val="costs"/>
      <sheetName val="costdataset"/>
      <sheetName val="outputprocessing"/>
      <sheetName val="baseline"/>
      <sheetName val="lbls"/>
      <sheetName val="inp"/>
      <sheetName val="SEEM Calibration"/>
      <sheetName val="heat_exchange_functions"/>
      <sheetName val="SEEM"/>
      <sheetName val="SEEMinput"/>
      <sheetName val="SEEMoutput"/>
      <sheetName val="setpointschedule_heat"/>
      <sheetName val="setpointschedule_cool"/>
      <sheetName val="Qgains_schedule"/>
      <sheetName val="Wgains_schedule"/>
      <sheetName val="fanschedule"/>
      <sheetName val="draw_schedule"/>
      <sheetName val="Reference"/>
      <sheetName val="About"/>
      <sheetName val="ProCost 6th Plan Inputs"/>
      <sheetName val="Levelized Cost Note"/>
      <sheetName val="Problems"/>
      <sheetName val="(QGains)"/>
      <sheetName val="(Tons) (Furnsize)"/>
      <sheetName val="(CFMmult) (HPcntrl) (Tcntrl)"/>
      <sheetName val="(SDLeak)(RDLeak)"/>
      <sheetName val="(SDRval) (RDRval)"/>
      <sheetName val="(Rfloor)"/>
      <sheetName val="(Rextwall)"/>
      <sheetName val="(Rceiling)"/>
      <sheetName val="(Uwindow)(SHGC)"/>
      <sheetName val="(CFM50)"/>
      <sheetName val="Constants"/>
      <sheetName val="RTF Guide to SEEM"/>
      <sheetName val="RTF Proto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66">
          <cell r="B66" t="b">
            <v>1</v>
          </cell>
          <cell r="C66" t="b">
            <v>1</v>
          </cell>
          <cell r="D66" t="b">
            <v>1</v>
          </cell>
          <cell r="E66" t="b">
            <v>1</v>
          </cell>
          <cell r="F66" t="b">
            <v>1</v>
          </cell>
          <cell r="G66" t="b">
            <v>1</v>
          </cell>
        </row>
        <row r="69">
          <cell r="B69" t="b">
            <v>1</v>
          </cell>
          <cell r="C69" t="b">
            <v>1</v>
          </cell>
          <cell r="D69" t="b">
            <v>1</v>
          </cell>
          <cell r="E69" t="b">
            <v>1</v>
          </cell>
          <cell r="F69" t="b">
            <v>1</v>
          </cell>
          <cell r="G69" t="b">
            <v>1</v>
          </cell>
        </row>
        <row r="72">
          <cell r="B72" t="b">
            <v>1</v>
          </cell>
          <cell r="C72" t="b">
            <v>1</v>
          </cell>
          <cell r="D72" t="b">
            <v>1</v>
          </cell>
          <cell r="E72" t="b">
            <v>1</v>
          </cell>
          <cell r="F72" t="b">
            <v>1</v>
          </cell>
          <cell r="G72" t="b">
            <v>1</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B1:E18"/>
  <sheetViews>
    <sheetView workbookViewId="0">
      <selection activeCell="E10" sqref="E10"/>
    </sheetView>
  </sheetViews>
  <sheetFormatPr defaultRowHeight="12.75"/>
  <cols>
    <col min="1" max="1" width="9.140625" style="70"/>
    <col min="2" max="2" width="37.85546875" style="70" customWidth="1"/>
    <col min="3" max="3" width="53.42578125" style="70" customWidth="1"/>
    <col min="4" max="4" width="34.140625" style="70" customWidth="1"/>
    <col min="5" max="5" width="21.28515625" style="70" customWidth="1"/>
    <col min="6" max="256" width="9.140625" style="70"/>
    <col min="257" max="257" width="26.7109375" style="70" customWidth="1"/>
    <col min="258" max="258" width="73.7109375" style="70" customWidth="1"/>
    <col min="259" max="259" width="58.42578125" style="70" customWidth="1"/>
    <col min="260" max="260" width="28.85546875" style="70" customWidth="1"/>
    <col min="261" max="512" width="9.140625" style="70"/>
    <col min="513" max="513" width="26.7109375" style="70" customWidth="1"/>
    <col min="514" max="514" width="73.7109375" style="70" customWidth="1"/>
    <col min="515" max="515" width="58.42578125" style="70" customWidth="1"/>
    <col min="516" max="516" width="28.85546875" style="70" customWidth="1"/>
    <col min="517" max="768" width="9.140625" style="70"/>
    <col min="769" max="769" width="26.7109375" style="70" customWidth="1"/>
    <col min="770" max="770" width="73.7109375" style="70" customWidth="1"/>
    <col min="771" max="771" width="58.42578125" style="70" customWidth="1"/>
    <col min="772" max="772" width="28.85546875" style="70" customWidth="1"/>
    <col min="773" max="1024" width="9.140625" style="70"/>
    <col min="1025" max="1025" width="26.7109375" style="70" customWidth="1"/>
    <col min="1026" max="1026" width="73.7109375" style="70" customWidth="1"/>
    <col min="1027" max="1027" width="58.42578125" style="70" customWidth="1"/>
    <col min="1028" max="1028" width="28.85546875" style="70" customWidth="1"/>
    <col min="1029" max="1280" width="9.140625" style="70"/>
    <col min="1281" max="1281" width="26.7109375" style="70" customWidth="1"/>
    <col min="1282" max="1282" width="73.7109375" style="70" customWidth="1"/>
    <col min="1283" max="1283" width="58.42578125" style="70" customWidth="1"/>
    <col min="1284" max="1284" width="28.85546875" style="70" customWidth="1"/>
    <col min="1285" max="1536" width="9.140625" style="70"/>
    <col min="1537" max="1537" width="26.7109375" style="70" customWidth="1"/>
    <col min="1538" max="1538" width="73.7109375" style="70" customWidth="1"/>
    <col min="1539" max="1539" width="58.42578125" style="70" customWidth="1"/>
    <col min="1540" max="1540" width="28.85546875" style="70" customWidth="1"/>
    <col min="1541" max="1792" width="9.140625" style="70"/>
    <col min="1793" max="1793" width="26.7109375" style="70" customWidth="1"/>
    <col min="1794" max="1794" width="73.7109375" style="70" customWidth="1"/>
    <col min="1795" max="1795" width="58.42578125" style="70" customWidth="1"/>
    <col min="1796" max="1796" width="28.85546875" style="70" customWidth="1"/>
    <col min="1797" max="2048" width="9.140625" style="70"/>
    <col min="2049" max="2049" width="26.7109375" style="70" customWidth="1"/>
    <col min="2050" max="2050" width="73.7109375" style="70" customWidth="1"/>
    <col min="2051" max="2051" width="58.42578125" style="70" customWidth="1"/>
    <col min="2052" max="2052" width="28.85546875" style="70" customWidth="1"/>
    <col min="2053" max="2304" width="9.140625" style="70"/>
    <col min="2305" max="2305" width="26.7109375" style="70" customWidth="1"/>
    <col min="2306" max="2306" width="73.7109375" style="70" customWidth="1"/>
    <col min="2307" max="2307" width="58.42578125" style="70" customWidth="1"/>
    <col min="2308" max="2308" width="28.85546875" style="70" customWidth="1"/>
    <col min="2309" max="2560" width="9.140625" style="70"/>
    <col min="2561" max="2561" width="26.7109375" style="70" customWidth="1"/>
    <col min="2562" max="2562" width="73.7109375" style="70" customWidth="1"/>
    <col min="2563" max="2563" width="58.42578125" style="70" customWidth="1"/>
    <col min="2564" max="2564" width="28.85546875" style="70" customWidth="1"/>
    <col min="2565" max="2816" width="9.140625" style="70"/>
    <col min="2817" max="2817" width="26.7109375" style="70" customWidth="1"/>
    <col min="2818" max="2818" width="73.7109375" style="70" customWidth="1"/>
    <col min="2819" max="2819" width="58.42578125" style="70" customWidth="1"/>
    <col min="2820" max="2820" width="28.85546875" style="70" customWidth="1"/>
    <col min="2821" max="3072" width="9.140625" style="70"/>
    <col min="3073" max="3073" width="26.7109375" style="70" customWidth="1"/>
    <col min="3074" max="3074" width="73.7109375" style="70" customWidth="1"/>
    <col min="3075" max="3075" width="58.42578125" style="70" customWidth="1"/>
    <col min="3076" max="3076" width="28.85546875" style="70" customWidth="1"/>
    <col min="3077" max="3328" width="9.140625" style="70"/>
    <col min="3329" max="3329" width="26.7109375" style="70" customWidth="1"/>
    <col min="3330" max="3330" width="73.7109375" style="70" customWidth="1"/>
    <col min="3331" max="3331" width="58.42578125" style="70" customWidth="1"/>
    <col min="3332" max="3332" width="28.85546875" style="70" customWidth="1"/>
    <col min="3333" max="3584" width="9.140625" style="70"/>
    <col min="3585" max="3585" width="26.7109375" style="70" customWidth="1"/>
    <col min="3586" max="3586" width="73.7109375" style="70" customWidth="1"/>
    <col min="3587" max="3587" width="58.42578125" style="70" customWidth="1"/>
    <col min="3588" max="3588" width="28.85546875" style="70" customWidth="1"/>
    <col min="3589" max="3840" width="9.140625" style="70"/>
    <col min="3841" max="3841" width="26.7109375" style="70" customWidth="1"/>
    <col min="3842" max="3842" width="73.7109375" style="70" customWidth="1"/>
    <col min="3843" max="3843" width="58.42578125" style="70" customWidth="1"/>
    <col min="3844" max="3844" width="28.85546875" style="70" customWidth="1"/>
    <col min="3845" max="4096" width="9.140625" style="70"/>
    <col min="4097" max="4097" width="26.7109375" style="70" customWidth="1"/>
    <col min="4098" max="4098" width="73.7109375" style="70" customWidth="1"/>
    <col min="4099" max="4099" width="58.42578125" style="70" customWidth="1"/>
    <col min="4100" max="4100" width="28.85546875" style="70" customWidth="1"/>
    <col min="4101" max="4352" width="9.140625" style="70"/>
    <col min="4353" max="4353" width="26.7109375" style="70" customWidth="1"/>
    <col min="4354" max="4354" width="73.7109375" style="70" customWidth="1"/>
    <col min="4355" max="4355" width="58.42578125" style="70" customWidth="1"/>
    <col min="4356" max="4356" width="28.85546875" style="70" customWidth="1"/>
    <col min="4357" max="4608" width="9.140625" style="70"/>
    <col min="4609" max="4609" width="26.7109375" style="70" customWidth="1"/>
    <col min="4610" max="4610" width="73.7109375" style="70" customWidth="1"/>
    <col min="4611" max="4611" width="58.42578125" style="70" customWidth="1"/>
    <col min="4612" max="4612" width="28.85546875" style="70" customWidth="1"/>
    <col min="4613" max="4864" width="9.140625" style="70"/>
    <col min="4865" max="4865" width="26.7109375" style="70" customWidth="1"/>
    <col min="4866" max="4866" width="73.7109375" style="70" customWidth="1"/>
    <col min="4867" max="4867" width="58.42578125" style="70" customWidth="1"/>
    <col min="4868" max="4868" width="28.85546875" style="70" customWidth="1"/>
    <col min="4869" max="5120" width="9.140625" style="70"/>
    <col min="5121" max="5121" width="26.7109375" style="70" customWidth="1"/>
    <col min="5122" max="5122" width="73.7109375" style="70" customWidth="1"/>
    <col min="5123" max="5123" width="58.42578125" style="70" customWidth="1"/>
    <col min="5124" max="5124" width="28.85546875" style="70" customWidth="1"/>
    <col min="5125" max="5376" width="9.140625" style="70"/>
    <col min="5377" max="5377" width="26.7109375" style="70" customWidth="1"/>
    <col min="5378" max="5378" width="73.7109375" style="70" customWidth="1"/>
    <col min="5379" max="5379" width="58.42578125" style="70" customWidth="1"/>
    <col min="5380" max="5380" width="28.85546875" style="70" customWidth="1"/>
    <col min="5381" max="5632" width="9.140625" style="70"/>
    <col min="5633" max="5633" width="26.7109375" style="70" customWidth="1"/>
    <col min="5634" max="5634" width="73.7109375" style="70" customWidth="1"/>
    <col min="5635" max="5635" width="58.42578125" style="70" customWidth="1"/>
    <col min="5636" max="5636" width="28.85546875" style="70" customWidth="1"/>
    <col min="5637" max="5888" width="9.140625" style="70"/>
    <col min="5889" max="5889" width="26.7109375" style="70" customWidth="1"/>
    <col min="5890" max="5890" width="73.7109375" style="70" customWidth="1"/>
    <col min="5891" max="5891" width="58.42578125" style="70" customWidth="1"/>
    <col min="5892" max="5892" width="28.85546875" style="70" customWidth="1"/>
    <col min="5893" max="6144" width="9.140625" style="70"/>
    <col min="6145" max="6145" width="26.7109375" style="70" customWidth="1"/>
    <col min="6146" max="6146" width="73.7109375" style="70" customWidth="1"/>
    <col min="6147" max="6147" width="58.42578125" style="70" customWidth="1"/>
    <col min="6148" max="6148" width="28.85546875" style="70" customWidth="1"/>
    <col min="6149" max="6400" width="9.140625" style="70"/>
    <col min="6401" max="6401" width="26.7109375" style="70" customWidth="1"/>
    <col min="6402" max="6402" width="73.7109375" style="70" customWidth="1"/>
    <col min="6403" max="6403" width="58.42578125" style="70" customWidth="1"/>
    <col min="6404" max="6404" width="28.85546875" style="70" customWidth="1"/>
    <col min="6405" max="6656" width="9.140625" style="70"/>
    <col min="6657" max="6657" width="26.7109375" style="70" customWidth="1"/>
    <col min="6658" max="6658" width="73.7109375" style="70" customWidth="1"/>
    <col min="6659" max="6659" width="58.42578125" style="70" customWidth="1"/>
    <col min="6660" max="6660" width="28.85546875" style="70" customWidth="1"/>
    <col min="6661" max="6912" width="9.140625" style="70"/>
    <col min="6913" max="6913" width="26.7109375" style="70" customWidth="1"/>
    <col min="6914" max="6914" width="73.7109375" style="70" customWidth="1"/>
    <col min="6915" max="6915" width="58.42578125" style="70" customWidth="1"/>
    <col min="6916" max="6916" width="28.85546875" style="70" customWidth="1"/>
    <col min="6917" max="7168" width="9.140625" style="70"/>
    <col min="7169" max="7169" width="26.7109375" style="70" customWidth="1"/>
    <col min="7170" max="7170" width="73.7109375" style="70" customWidth="1"/>
    <col min="7171" max="7171" width="58.42578125" style="70" customWidth="1"/>
    <col min="7172" max="7172" width="28.85546875" style="70" customWidth="1"/>
    <col min="7173" max="7424" width="9.140625" style="70"/>
    <col min="7425" max="7425" width="26.7109375" style="70" customWidth="1"/>
    <col min="7426" max="7426" width="73.7109375" style="70" customWidth="1"/>
    <col min="7427" max="7427" width="58.42578125" style="70" customWidth="1"/>
    <col min="7428" max="7428" width="28.85546875" style="70" customWidth="1"/>
    <col min="7429" max="7680" width="9.140625" style="70"/>
    <col min="7681" max="7681" width="26.7109375" style="70" customWidth="1"/>
    <col min="7682" max="7682" width="73.7109375" style="70" customWidth="1"/>
    <col min="7683" max="7683" width="58.42578125" style="70" customWidth="1"/>
    <col min="7684" max="7684" width="28.85546875" style="70" customWidth="1"/>
    <col min="7685" max="7936" width="9.140625" style="70"/>
    <col min="7937" max="7937" width="26.7109375" style="70" customWidth="1"/>
    <col min="7938" max="7938" width="73.7109375" style="70" customWidth="1"/>
    <col min="7939" max="7939" width="58.42578125" style="70" customWidth="1"/>
    <col min="7940" max="7940" width="28.85546875" style="70" customWidth="1"/>
    <col min="7941" max="8192" width="9.140625" style="70"/>
    <col min="8193" max="8193" width="26.7109375" style="70" customWidth="1"/>
    <col min="8194" max="8194" width="73.7109375" style="70" customWidth="1"/>
    <col min="8195" max="8195" width="58.42578125" style="70" customWidth="1"/>
    <col min="8196" max="8196" width="28.85546875" style="70" customWidth="1"/>
    <col min="8197" max="8448" width="9.140625" style="70"/>
    <col min="8449" max="8449" width="26.7109375" style="70" customWidth="1"/>
    <col min="8450" max="8450" width="73.7109375" style="70" customWidth="1"/>
    <col min="8451" max="8451" width="58.42578125" style="70" customWidth="1"/>
    <col min="8452" max="8452" width="28.85546875" style="70" customWidth="1"/>
    <col min="8453" max="8704" width="9.140625" style="70"/>
    <col min="8705" max="8705" width="26.7109375" style="70" customWidth="1"/>
    <col min="8706" max="8706" width="73.7109375" style="70" customWidth="1"/>
    <col min="8707" max="8707" width="58.42578125" style="70" customWidth="1"/>
    <col min="8708" max="8708" width="28.85546875" style="70" customWidth="1"/>
    <col min="8709" max="8960" width="9.140625" style="70"/>
    <col min="8961" max="8961" width="26.7109375" style="70" customWidth="1"/>
    <col min="8962" max="8962" width="73.7109375" style="70" customWidth="1"/>
    <col min="8963" max="8963" width="58.42578125" style="70" customWidth="1"/>
    <col min="8964" max="8964" width="28.85546875" style="70" customWidth="1"/>
    <col min="8965" max="9216" width="9.140625" style="70"/>
    <col min="9217" max="9217" width="26.7109375" style="70" customWidth="1"/>
    <col min="9218" max="9218" width="73.7109375" style="70" customWidth="1"/>
    <col min="9219" max="9219" width="58.42578125" style="70" customWidth="1"/>
    <col min="9220" max="9220" width="28.85546875" style="70" customWidth="1"/>
    <col min="9221" max="9472" width="9.140625" style="70"/>
    <col min="9473" max="9473" width="26.7109375" style="70" customWidth="1"/>
    <col min="9474" max="9474" width="73.7109375" style="70" customWidth="1"/>
    <col min="9475" max="9475" width="58.42578125" style="70" customWidth="1"/>
    <col min="9476" max="9476" width="28.85546875" style="70" customWidth="1"/>
    <col min="9477" max="9728" width="9.140625" style="70"/>
    <col min="9729" max="9729" width="26.7109375" style="70" customWidth="1"/>
    <col min="9730" max="9730" width="73.7109375" style="70" customWidth="1"/>
    <col min="9731" max="9731" width="58.42578125" style="70" customWidth="1"/>
    <col min="9732" max="9732" width="28.85546875" style="70" customWidth="1"/>
    <col min="9733" max="9984" width="9.140625" style="70"/>
    <col min="9985" max="9985" width="26.7109375" style="70" customWidth="1"/>
    <col min="9986" max="9986" width="73.7109375" style="70" customWidth="1"/>
    <col min="9987" max="9987" width="58.42578125" style="70" customWidth="1"/>
    <col min="9988" max="9988" width="28.85546875" style="70" customWidth="1"/>
    <col min="9989" max="10240" width="9.140625" style="70"/>
    <col min="10241" max="10241" width="26.7109375" style="70" customWidth="1"/>
    <col min="10242" max="10242" width="73.7109375" style="70" customWidth="1"/>
    <col min="10243" max="10243" width="58.42578125" style="70" customWidth="1"/>
    <col min="10244" max="10244" width="28.85546875" style="70" customWidth="1"/>
    <col min="10245" max="10496" width="9.140625" style="70"/>
    <col min="10497" max="10497" width="26.7109375" style="70" customWidth="1"/>
    <col min="10498" max="10498" width="73.7109375" style="70" customWidth="1"/>
    <col min="10499" max="10499" width="58.42578125" style="70" customWidth="1"/>
    <col min="10500" max="10500" width="28.85546875" style="70" customWidth="1"/>
    <col min="10501" max="10752" width="9.140625" style="70"/>
    <col min="10753" max="10753" width="26.7109375" style="70" customWidth="1"/>
    <col min="10754" max="10754" width="73.7109375" style="70" customWidth="1"/>
    <col min="10755" max="10755" width="58.42578125" style="70" customWidth="1"/>
    <col min="10756" max="10756" width="28.85546875" style="70" customWidth="1"/>
    <col min="10757" max="11008" width="9.140625" style="70"/>
    <col min="11009" max="11009" width="26.7109375" style="70" customWidth="1"/>
    <col min="11010" max="11010" width="73.7109375" style="70" customWidth="1"/>
    <col min="11011" max="11011" width="58.42578125" style="70" customWidth="1"/>
    <col min="11012" max="11012" width="28.85546875" style="70" customWidth="1"/>
    <col min="11013" max="11264" width="9.140625" style="70"/>
    <col min="11265" max="11265" width="26.7109375" style="70" customWidth="1"/>
    <col min="11266" max="11266" width="73.7109375" style="70" customWidth="1"/>
    <col min="11267" max="11267" width="58.42578125" style="70" customWidth="1"/>
    <col min="11268" max="11268" width="28.85546875" style="70" customWidth="1"/>
    <col min="11269" max="11520" width="9.140625" style="70"/>
    <col min="11521" max="11521" width="26.7109375" style="70" customWidth="1"/>
    <col min="11522" max="11522" width="73.7109375" style="70" customWidth="1"/>
    <col min="11523" max="11523" width="58.42578125" style="70" customWidth="1"/>
    <col min="11524" max="11524" width="28.85546875" style="70" customWidth="1"/>
    <col min="11525" max="11776" width="9.140625" style="70"/>
    <col min="11777" max="11777" width="26.7109375" style="70" customWidth="1"/>
    <col min="11778" max="11778" width="73.7109375" style="70" customWidth="1"/>
    <col min="11779" max="11779" width="58.42578125" style="70" customWidth="1"/>
    <col min="11780" max="11780" width="28.85546875" style="70" customWidth="1"/>
    <col min="11781" max="12032" width="9.140625" style="70"/>
    <col min="12033" max="12033" width="26.7109375" style="70" customWidth="1"/>
    <col min="12034" max="12034" width="73.7109375" style="70" customWidth="1"/>
    <col min="12035" max="12035" width="58.42578125" style="70" customWidth="1"/>
    <col min="12036" max="12036" width="28.85546875" style="70" customWidth="1"/>
    <col min="12037" max="12288" width="9.140625" style="70"/>
    <col min="12289" max="12289" width="26.7109375" style="70" customWidth="1"/>
    <col min="12290" max="12290" width="73.7109375" style="70" customWidth="1"/>
    <col min="12291" max="12291" width="58.42578125" style="70" customWidth="1"/>
    <col min="12292" max="12292" width="28.85546875" style="70" customWidth="1"/>
    <col min="12293" max="12544" width="9.140625" style="70"/>
    <col min="12545" max="12545" width="26.7109375" style="70" customWidth="1"/>
    <col min="12546" max="12546" width="73.7109375" style="70" customWidth="1"/>
    <col min="12547" max="12547" width="58.42578125" style="70" customWidth="1"/>
    <col min="12548" max="12548" width="28.85546875" style="70" customWidth="1"/>
    <col min="12549" max="12800" width="9.140625" style="70"/>
    <col min="12801" max="12801" width="26.7109375" style="70" customWidth="1"/>
    <col min="12802" max="12802" width="73.7109375" style="70" customWidth="1"/>
    <col min="12803" max="12803" width="58.42578125" style="70" customWidth="1"/>
    <col min="12804" max="12804" width="28.85546875" style="70" customWidth="1"/>
    <col min="12805" max="13056" width="9.140625" style="70"/>
    <col min="13057" max="13057" width="26.7109375" style="70" customWidth="1"/>
    <col min="13058" max="13058" width="73.7109375" style="70" customWidth="1"/>
    <col min="13059" max="13059" width="58.42578125" style="70" customWidth="1"/>
    <col min="13060" max="13060" width="28.85546875" style="70" customWidth="1"/>
    <col min="13061" max="13312" width="9.140625" style="70"/>
    <col min="13313" max="13313" width="26.7109375" style="70" customWidth="1"/>
    <col min="13314" max="13314" width="73.7109375" style="70" customWidth="1"/>
    <col min="13315" max="13315" width="58.42578125" style="70" customWidth="1"/>
    <col min="13316" max="13316" width="28.85546875" style="70" customWidth="1"/>
    <col min="13317" max="13568" width="9.140625" style="70"/>
    <col min="13569" max="13569" width="26.7109375" style="70" customWidth="1"/>
    <col min="13570" max="13570" width="73.7109375" style="70" customWidth="1"/>
    <col min="13571" max="13571" width="58.42578125" style="70" customWidth="1"/>
    <col min="13572" max="13572" width="28.85546875" style="70" customWidth="1"/>
    <col min="13573" max="13824" width="9.140625" style="70"/>
    <col min="13825" max="13825" width="26.7109375" style="70" customWidth="1"/>
    <col min="13826" max="13826" width="73.7109375" style="70" customWidth="1"/>
    <col min="13827" max="13827" width="58.42578125" style="70" customWidth="1"/>
    <col min="13828" max="13828" width="28.85546875" style="70" customWidth="1"/>
    <col min="13829" max="14080" width="9.140625" style="70"/>
    <col min="14081" max="14081" width="26.7109375" style="70" customWidth="1"/>
    <col min="14082" max="14082" width="73.7109375" style="70" customWidth="1"/>
    <col min="14083" max="14083" width="58.42578125" style="70" customWidth="1"/>
    <col min="14084" max="14084" width="28.85546875" style="70" customWidth="1"/>
    <col min="14085" max="14336" width="9.140625" style="70"/>
    <col min="14337" max="14337" width="26.7109375" style="70" customWidth="1"/>
    <col min="14338" max="14338" width="73.7109375" style="70" customWidth="1"/>
    <col min="14339" max="14339" width="58.42578125" style="70" customWidth="1"/>
    <col min="14340" max="14340" width="28.85546875" style="70" customWidth="1"/>
    <col min="14341" max="14592" width="9.140625" style="70"/>
    <col min="14593" max="14593" width="26.7109375" style="70" customWidth="1"/>
    <col min="14594" max="14594" width="73.7109375" style="70" customWidth="1"/>
    <col min="14595" max="14595" width="58.42578125" style="70" customWidth="1"/>
    <col min="14596" max="14596" width="28.85546875" style="70" customWidth="1"/>
    <col min="14597" max="14848" width="9.140625" style="70"/>
    <col min="14849" max="14849" width="26.7109375" style="70" customWidth="1"/>
    <col min="14850" max="14850" width="73.7109375" style="70" customWidth="1"/>
    <col min="14851" max="14851" width="58.42578125" style="70" customWidth="1"/>
    <col min="14852" max="14852" width="28.85546875" style="70" customWidth="1"/>
    <col min="14853" max="15104" width="9.140625" style="70"/>
    <col min="15105" max="15105" width="26.7109375" style="70" customWidth="1"/>
    <col min="15106" max="15106" width="73.7109375" style="70" customWidth="1"/>
    <col min="15107" max="15107" width="58.42578125" style="70" customWidth="1"/>
    <col min="15108" max="15108" width="28.85546875" style="70" customWidth="1"/>
    <col min="15109" max="15360" width="9.140625" style="70"/>
    <col min="15361" max="15361" width="26.7109375" style="70" customWidth="1"/>
    <col min="15362" max="15362" width="73.7109375" style="70" customWidth="1"/>
    <col min="15363" max="15363" width="58.42578125" style="70" customWidth="1"/>
    <col min="15364" max="15364" width="28.85546875" style="70" customWidth="1"/>
    <col min="15365" max="15616" width="9.140625" style="70"/>
    <col min="15617" max="15617" width="26.7109375" style="70" customWidth="1"/>
    <col min="15618" max="15618" width="73.7109375" style="70" customWidth="1"/>
    <col min="15619" max="15619" width="58.42578125" style="70" customWidth="1"/>
    <col min="15620" max="15620" width="28.85546875" style="70" customWidth="1"/>
    <col min="15621" max="15872" width="9.140625" style="70"/>
    <col min="15873" max="15873" width="26.7109375" style="70" customWidth="1"/>
    <col min="15874" max="15874" width="73.7109375" style="70" customWidth="1"/>
    <col min="15875" max="15875" width="58.42578125" style="70" customWidth="1"/>
    <col min="15876" max="15876" width="28.85546875" style="70" customWidth="1"/>
    <col min="15877" max="16128" width="9.140625" style="70"/>
    <col min="16129" max="16129" width="26.7109375" style="70" customWidth="1"/>
    <col min="16130" max="16130" width="73.7109375" style="70" customWidth="1"/>
    <col min="16131" max="16131" width="58.42578125" style="70" customWidth="1"/>
    <col min="16132" max="16132" width="28.85546875" style="70" customWidth="1"/>
    <col min="16133" max="16384" width="9.140625" style="70"/>
  </cols>
  <sheetData>
    <row r="1" spans="2:5" ht="13.5" thickBot="1"/>
    <row r="2" spans="2:5" s="74" customFormat="1" ht="19.5" thickBot="1">
      <c r="B2" s="71" t="s">
        <v>152</v>
      </c>
      <c r="C2" s="72" t="s">
        <v>434</v>
      </c>
      <c r="D2" s="72"/>
      <c r="E2" s="73"/>
    </row>
    <row r="3" spans="2:5" s="74" customFormat="1" ht="15">
      <c r="B3" s="75" t="s">
        <v>153</v>
      </c>
      <c r="C3" s="75" t="s">
        <v>154</v>
      </c>
      <c r="D3" s="75" t="s">
        <v>155</v>
      </c>
      <c r="E3" s="75" t="s">
        <v>156</v>
      </c>
    </row>
    <row r="4" spans="2:5" ht="38.25">
      <c r="B4" s="76" t="s">
        <v>157</v>
      </c>
      <c r="C4" s="77" t="s">
        <v>528</v>
      </c>
      <c r="D4" s="77"/>
      <c r="E4" s="77" t="s">
        <v>562</v>
      </c>
    </row>
    <row r="5" spans="2:5" ht="25.5">
      <c r="B5" s="76" t="s">
        <v>158</v>
      </c>
      <c r="C5" s="78" t="s">
        <v>529</v>
      </c>
      <c r="D5" s="79" t="s">
        <v>426</v>
      </c>
      <c r="E5" s="79" t="s">
        <v>566</v>
      </c>
    </row>
    <row r="6" spans="2:5" ht="38.25">
      <c r="B6" s="76" t="s">
        <v>159</v>
      </c>
      <c r="C6" s="79" t="s">
        <v>530</v>
      </c>
      <c r="D6" s="78" t="s">
        <v>531</v>
      </c>
      <c r="E6" s="78" t="s">
        <v>567</v>
      </c>
    </row>
    <row r="7" spans="2:5">
      <c r="B7" s="76" t="s">
        <v>160</v>
      </c>
      <c r="C7" s="78" t="s">
        <v>563</v>
      </c>
      <c r="D7" s="83" t="s">
        <v>532</v>
      </c>
      <c r="E7" s="78"/>
    </row>
    <row r="8" spans="2:5" s="74" customFormat="1" ht="39.75" customHeight="1">
      <c r="B8" s="80" t="s">
        <v>161</v>
      </c>
      <c r="C8" s="81" t="s">
        <v>534</v>
      </c>
      <c r="D8" s="82"/>
      <c r="E8" s="82"/>
    </row>
    <row r="9" spans="2:5">
      <c r="B9" s="76" t="s">
        <v>162</v>
      </c>
      <c r="C9" s="78" t="s">
        <v>533</v>
      </c>
      <c r="D9" s="78"/>
      <c r="E9" s="78"/>
    </row>
    <row r="10" spans="2:5">
      <c r="B10" s="76" t="s">
        <v>163</v>
      </c>
      <c r="C10" s="78" t="s">
        <v>535</v>
      </c>
      <c r="D10" s="78"/>
      <c r="E10" s="78"/>
    </row>
    <row r="11" spans="2:5">
      <c r="B11" s="76" t="s">
        <v>149</v>
      </c>
      <c r="C11" s="78" t="s">
        <v>536</v>
      </c>
      <c r="D11" s="78"/>
      <c r="E11" s="78"/>
    </row>
    <row r="12" spans="2:5">
      <c r="B12" s="76" t="s">
        <v>164</v>
      </c>
      <c r="C12" s="78" t="s">
        <v>537</v>
      </c>
      <c r="D12" s="78"/>
      <c r="E12" s="78"/>
    </row>
    <row r="13" spans="2:5" ht="38.25">
      <c r="B13" s="76" t="s">
        <v>165</v>
      </c>
      <c r="C13" s="78" t="s">
        <v>564</v>
      </c>
      <c r="D13" s="78" t="s">
        <v>565</v>
      </c>
      <c r="E13" s="78"/>
    </row>
    <row r="14" spans="2:5" customFormat="1"/>
    <row r="15" spans="2:5" customFormat="1"/>
    <row r="16" spans="2:5" customFormat="1"/>
    <row r="17" customFormat="1"/>
    <row r="18"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8"/>
  <dimension ref="C4:D29"/>
  <sheetViews>
    <sheetView workbookViewId="0">
      <selection sqref="A1:D1048576"/>
    </sheetView>
  </sheetViews>
  <sheetFormatPr defaultRowHeight="12.75"/>
  <sheetData>
    <row r="4" spans="3:4" ht="13.5" thickBot="1">
      <c r="C4" s="162" t="e">
        <f>"Table 14. PNW Climate Zone Market Share – Single Family "&amp;#REF!</f>
        <v>#REF!</v>
      </c>
    </row>
    <row r="5" spans="3:4" ht="14.25" thickTop="1" thickBot="1">
      <c r="C5" s="156" t="s">
        <v>436</v>
      </c>
      <c r="D5" s="159" t="s">
        <v>435</v>
      </c>
    </row>
    <row r="6" spans="3:4" ht="13.5" thickTop="1">
      <c r="C6" s="152" t="s">
        <v>437</v>
      </c>
      <c r="D6" s="154">
        <v>0.75092686608104631</v>
      </c>
    </row>
    <row r="7" spans="3:4">
      <c r="C7" s="153" t="s">
        <v>438</v>
      </c>
      <c r="D7" s="155">
        <v>0.16504711634982333</v>
      </c>
    </row>
    <row r="8" spans="3:4" ht="13.5" thickBot="1">
      <c r="C8" s="157" t="s">
        <v>439</v>
      </c>
      <c r="D8" s="160">
        <v>8.4026017569135317E-2</v>
      </c>
    </row>
    <row r="9" spans="3:4" ht="14.25" thickTop="1" thickBot="1">
      <c r="C9" s="158" t="s">
        <v>440</v>
      </c>
      <c r="D9" s="161">
        <v>1</v>
      </c>
    </row>
    <row r="10" spans="3:4" ht="13.5" thickTop="1"/>
    <row r="12" spans="3:4" ht="13.5" thickBot="1">
      <c r="C12" s="162" t="e">
        <f>"Table 14. PNW Climate Zone Market Share – Manufactured Home "&amp;#REF!</f>
        <v>#REF!</v>
      </c>
    </row>
    <row r="13" spans="3:4" ht="14.25" thickTop="1" thickBot="1">
      <c r="C13" s="156" t="s">
        <v>436</v>
      </c>
      <c r="D13" s="159" t="s">
        <v>435</v>
      </c>
    </row>
    <row r="14" spans="3:4" ht="13.5" thickTop="1">
      <c r="C14" s="152" t="s">
        <v>437</v>
      </c>
      <c r="D14" s="154">
        <v>0.63078352231078716</v>
      </c>
    </row>
    <row r="15" spans="3:4">
      <c r="C15" s="153" t="s">
        <v>438</v>
      </c>
      <c r="D15" s="155">
        <v>0.26925940061701392</v>
      </c>
    </row>
    <row r="16" spans="3:4" ht="13.5" thickBot="1">
      <c r="C16" s="157" t="s">
        <v>439</v>
      </c>
      <c r="D16" s="160">
        <v>9.9957077072198128E-2</v>
      </c>
    </row>
    <row r="17" spans="3:4" ht="14.25" thickTop="1" thickBot="1">
      <c r="C17" s="158" t="s">
        <v>440</v>
      </c>
      <c r="D17" s="161">
        <v>1</v>
      </c>
    </row>
    <row r="18" spans="3:4" ht="13.5" thickTop="1"/>
    <row r="26" spans="3:4">
      <c r="C26" t="s">
        <v>494</v>
      </c>
    </row>
    <row r="27" spans="3:4">
      <c r="C27" t="s">
        <v>468</v>
      </c>
      <c r="D27">
        <v>2.72</v>
      </c>
    </row>
    <row r="28" spans="3:4">
      <c r="C28" t="s">
        <v>467</v>
      </c>
      <c r="D28">
        <v>2.5099999999999998</v>
      </c>
    </row>
    <row r="29" spans="3:4">
      <c r="C29" t="s">
        <v>495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9"/>
  <dimension ref="A4:DB318"/>
  <sheetViews>
    <sheetView topLeftCell="B1" workbookViewId="0">
      <selection activeCell="D7" sqref="D7"/>
    </sheetView>
  </sheetViews>
  <sheetFormatPr defaultRowHeight="12.75"/>
  <cols>
    <col min="1" max="1" width="19.140625" customWidth="1"/>
    <col min="2" max="2" width="38.140625" customWidth="1"/>
    <col min="3" max="3" width="35.5703125" customWidth="1"/>
    <col min="4" max="4" width="11.5703125" bestFit="1" customWidth="1"/>
    <col min="6" max="6" width="11.5703125" bestFit="1" customWidth="1"/>
    <col min="7" max="7" width="12.42578125" bestFit="1" customWidth="1"/>
    <col min="16" max="16" width="11.140625" customWidth="1"/>
  </cols>
  <sheetData>
    <row r="4" spans="1:106">
      <c r="A4" s="42" t="s">
        <v>555</v>
      </c>
      <c r="B4">
        <v>1.107</v>
      </c>
      <c r="C4" t="s">
        <v>428</v>
      </c>
    </row>
    <row r="5" spans="1:106" s="7" customFormat="1">
      <c r="B5" s="12" t="s">
        <v>3</v>
      </c>
      <c r="C5" s="13"/>
      <c r="D5" s="13"/>
      <c r="E5" s="13"/>
      <c r="F5" s="13"/>
      <c r="G5" s="13"/>
      <c r="H5" s="14"/>
      <c r="I5" s="15"/>
      <c r="J5" s="207" t="s">
        <v>4</v>
      </c>
      <c r="K5" s="208"/>
      <c r="L5" s="208"/>
      <c r="M5" s="208"/>
      <c r="N5" s="208"/>
      <c r="O5" s="209"/>
      <c r="P5" s="210" t="s">
        <v>5</v>
      </c>
      <c r="Q5" s="211"/>
      <c r="R5" s="16"/>
      <c r="S5" s="17"/>
      <c r="T5" s="17"/>
      <c r="U5" s="17"/>
      <c r="V5" s="17"/>
      <c r="W5" s="17"/>
      <c r="X5" s="17"/>
      <c r="Y5" s="18"/>
      <c r="Z5" s="19"/>
      <c r="AA5" s="17"/>
      <c r="AB5" s="17"/>
      <c r="AC5" s="17"/>
      <c r="AD5" s="17"/>
      <c r="AE5" s="17"/>
      <c r="AF5" s="20"/>
      <c r="AG5" s="20"/>
      <c r="AH5" s="20"/>
      <c r="AI5" s="20"/>
      <c r="AJ5" s="20"/>
      <c r="AK5" s="20"/>
      <c r="AL5" s="20"/>
      <c r="AM5" s="20"/>
      <c r="AN5" s="20"/>
      <c r="AO5" s="20"/>
      <c r="AP5" s="20"/>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row>
    <row r="6" spans="1:106" s="7" customFormat="1" ht="25.5">
      <c r="A6" s="7" t="s">
        <v>47</v>
      </c>
      <c r="B6" s="21" t="s">
        <v>6</v>
      </c>
      <c r="C6" s="21" t="s">
        <v>7</v>
      </c>
      <c r="D6" s="21" t="s">
        <v>8</v>
      </c>
      <c r="E6" s="21" t="s">
        <v>9</v>
      </c>
      <c r="F6" s="21" t="s">
        <v>10</v>
      </c>
      <c r="G6" s="21" t="s">
        <v>11</v>
      </c>
      <c r="H6" s="21" t="s">
        <v>12</v>
      </c>
      <c r="I6" s="21" t="s">
        <v>13</v>
      </c>
      <c r="J6" s="21" t="s">
        <v>14</v>
      </c>
      <c r="K6" s="21" t="s">
        <v>15</v>
      </c>
      <c r="L6" s="21" t="s">
        <v>16</v>
      </c>
      <c r="M6" s="21" t="s">
        <v>17</v>
      </c>
      <c r="N6" s="21" t="s">
        <v>18</v>
      </c>
      <c r="O6" s="21" t="s">
        <v>19</v>
      </c>
      <c r="P6" s="22" t="s">
        <v>20</v>
      </c>
      <c r="Q6" s="21" t="s">
        <v>12</v>
      </c>
      <c r="R6" s="23"/>
      <c r="S6" s="23"/>
      <c r="T6" s="23"/>
      <c r="U6" s="23"/>
      <c r="V6" s="23"/>
      <c r="W6" s="23"/>
      <c r="X6" s="23"/>
      <c r="Y6" s="23"/>
      <c r="Z6" s="23"/>
      <c r="AA6" s="23"/>
      <c r="AB6" s="23"/>
      <c r="AC6" s="23"/>
      <c r="AD6" s="23"/>
      <c r="AE6" s="23"/>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c r="A7" t="str">
        <f t="shared" ref="A7:A70" si="0">B7&amp;C7</f>
        <v>Tier1_garage_HZ1DHWkwh</v>
      </c>
      <c r="B7" s="24" t="str">
        <f>Raw!A8</f>
        <v>Tier1_garage_HZ1</v>
      </c>
      <c r="C7" s="24" t="str">
        <f>Raw!B8</f>
        <v>DHWkwh</v>
      </c>
      <c r="D7" s="24">
        <f>Raw!C8</f>
        <v>1016.3640964593774</v>
      </c>
      <c r="E7" s="24">
        <f>Raw!D8</f>
        <v>13</v>
      </c>
      <c r="F7" s="44">
        <f>Raw!E8*$B$4</f>
        <v>724.5875237038573</v>
      </c>
      <c r="G7" s="24">
        <f>Raw!F8</f>
        <v>0</v>
      </c>
      <c r="H7" s="24" t="str">
        <f>Raw!G8</f>
        <v>ResDHW</v>
      </c>
      <c r="I7" s="24">
        <f>Raw!H8</f>
        <v>0</v>
      </c>
      <c r="J7" s="24">
        <f>Raw!I8</f>
        <v>0</v>
      </c>
      <c r="K7" s="24">
        <f>Raw!J8</f>
        <v>0</v>
      </c>
      <c r="L7" s="24">
        <f>Raw!K8</f>
        <v>0</v>
      </c>
      <c r="M7" s="24">
        <f>Raw!L8</f>
        <v>0</v>
      </c>
      <c r="N7" s="24">
        <f>Raw!M8</f>
        <v>0</v>
      </c>
      <c r="O7" s="24">
        <f>Raw!N8</f>
        <v>0</v>
      </c>
      <c r="P7" s="24">
        <f>Raw!O8</f>
        <v>0</v>
      </c>
      <c r="Q7" s="24" t="str">
        <f>Raw!P8</f>
        <v/>
      </c>
      <c r="R7" s="41"/>
      <c r="S7" s="41"/>
      <c r="T7" s="41"/>
      <c r="U7" s="41"/>
      <c r="V7" s="41"/>
      <c r="W7" s="41"/>
      <c r="X7" s="41"/>
      <c r="Y7" s="41"/>
      <c r="Z7" s="41"/>
      <c r="AA7" s="41"/>
      <c r="AB7" s="41"/>
      <c r="AC7" s="41"/>
      <c r="AD7" s="41"/>
      <c r="AE7" s="41"/>
      <c r="AF7" s="41"/>
      <c r="AG7" s="41"/>
      <c r="AH7" s="41"/>
      <c r="AI7" s="41"/>
      <c r="AJ7" s="41"/>
      <c r="AK7" s="41"/>
      <c r="AL7" s="41"/>
      <c r="AM7" s="41"/>
    </row>
    <row r="8" spans="1:106" ht="25.5">
      <c r="A8" t="str">
        <f t="shared" si="0"/>
        <v>Tier1_garage_HZ1Heatkwh</v>
      </c>
      <c r="B8" s="24" t="str">
        <f>Raw!A9</f>
        <v>Tier1_garage_HZ1</v>
      </c>
      <c r="C8" s="24" t="str">
        <f>Raw!B9</f>
        <v>Heatkwh</v>
      </c>
      <c r="D8" s="24">
        <f>Raw!C9</f>
        <v>0</v>
      </c>
      <c r="E8" s="24">
        <f>Raw!D9</f>
        <v>13</v>
      </c>
      <c r="F8" s="44">
        <f>Raw!E9*$B$4</f>
        <v>0</v>
      </c>
      <c r="G8" s="24">
        <f>Raw!F9</f>
        <v>0</v>
      </c>
      <c r="H8" s="24" t="str">
        <f>Raw!G9</f>
        <v>ResSpHtFAFZ1</v>
      </c>
      <c r="I8" s="24">
        <f>Raw!H9</f>
        <v>0</v>
      </c>
      <c r="J8" s="24">
        <f>Raw!I9</f>
        <v>0</v>
      </c>
      <c r="K8" s="24">
        <f>Raw!J9</f>
        <v>0</v>
      </c>
      <c r="L8" s="24">
        <f>Raw!K9</f>
        <v>0</v>
      </c>
      <c r="M8" s="24">
        <f>Raw!L9</f>
        <v>0</v>
      </c>
      <c r="N8" s="24">
        <f>Raw!M9</f>
        <v>0</v>
      </c>
      <c r="O8" s="24">
        <f>Raw!N9</f>
        <v>0</v>
      </c>
      <c r="P8" s="24">
        <f>Raw!O9</f>
        <v>0</v>
      </c>
      <c r="Q8" s="24" t="str">
        <f>Raw!P9</f>
        <v/>
      </c>
      <c r="R8" s="41"/>
      <c r="S8" s="41"/>
      <c r="T8" s="41"/>
      <c r="U8" s="41"/>
      <c r="V8" s="41"/>
      <c r="W8" s="41"/>
      <c r="X8" s="41"/>
      <c r="Y8" s="41"/>
      <c r="Z8" s="41"/>
      <c r="AA8" s="41"/>
      <c r="AB8" s="41"/>
      <c r="AC8" s="41"/>
      <c r="AD8" s="41"/>
      <c r="AE8" s="41"/>
      <c r="AF8" s="41"/>
      <c r="AG8" s="41"/>
      <c r="AH8" s="41"/>
      <c r="AI8" s="41"/>
      <c r="AJ8" s="41"/>
      <c r="AK8" s="41"/>
      <c r="AL8" s="41"/>
      <c r="AM8" s="41"/>
    </row>
    <row r="9" spans="1:106" ht="25.5">
      <c r="A9" t="str">
        <f t="shared" si="0"/>
        <v>Tier1_garage_HZ1Coolkwh</v>
      </c>
      <c r="B9" s="24" t="str">
        <f>Raw!A10</f>
        <v>Tier1_garage_HZ1</v>
      </c>
      <c r="C9" s="24" t="str">
        <f>Raw!B10</f>
        <v>Coolkwh</v>
      </c>
      <c r="D9" s="24">
        <f>Raw!C10</f>
        <v>0</v>
      </c>
      <c r="E9" s="24">
        <f>Raw!D10</f>
        <v>13</v>
      </c>
      <c r="F9" s="44">
        <f>Raw!E10*$B$4</f>
        <v>0</v>
      </c>
      <c r="G9" s="24">
        <f>Raw!F10</f>
        <v>0</v>
      </c>
      <c r="H9" s="24" t="str">
        <f>Raw!G10</f>
        <v>ResCACPNW</v>
      </c>
      <c r="I9" s="24">
        <f>Raw!H10</f>
        <v>0</v>
      </c>
      <c r="J9" s="24">
        <f>Raw!I10</f>
        <v>0</v>
      </c>
      <c r="K9" s="24">
        <f>Raw!J10</f>
        <v>0</v>
      </c>
      <c r="L9" s="24">
        <f>Raw!K10</f>
        <v>0</v>
      </c>
      <c r="M9" s="24">
        <f>Raw!L10</f>
        <v>0</v>
      </c>
      <c r="N9" s="24">
        <f>Raw!M10</f>
        <v>0</v>
      </c>
      <c r="O9" s="24">
        <f>Raw!N10</f>
        <v>0</v>
      </c>
      <c r="P9" s="24">
        <f>Raw!O10</f>
        <v>0</v>
      </c>
      <c r="Q9" s="24" t="str">
        <f>Raw!P10</f>
        <v/>
      </c>
      <c r="R9" s="41"/>
      <c r="S9" s="41"/>
      <c r="T9" s="41"/>
      <c r="U9" s="41"/>
      <c r="V9" s="41"/>
      <c r="W9" s="41"/>
      <c r="X9" s="41"/>
      <c r="Y9" s="41"/>
      <c r="Z9" s="41"/>
      <c r="AA9" s="41"/>
      <c r="AB9" s="41"/>
      <c r="AC9" s="41"/>
      <c r="AD9" s="41"/>
      <c r="AE9" s="41"/>
      <c r="AF9" s="41"/>
      <c r="AG9" s="41"/>
      <c r="AH9" s="41"/>
      <c r="AI9" s="41"/>
      <c r="AJ9" s="41"/>
      <c r="AK9" s="41"/>
      <c r="AL9" s="41"/>
      <c r="AM9" s="41"/>
    </row>
    <row r="10" spans="1:106">
      <c r="A10" t="str">
        <f t="shared" si="0"/>
        <v>Tier1_garage_HZ2DHWkwh</v>
      </c>
      <c r="B10" s="24" t="str">
        <f>Raw!A11</f>
        <v>Tier1_garage_HZ2</v>
      </c>
      <c r="C10" s="24" t="str">
        <f>Raw!B11</f>
        <v>DHWkwh</v>
      </c>
      <c r="D10" s="24">
        <f>Raw!C11</f>
        <v>846.8559718231312</v>
      </c>
      <c r="E10" s="24">
        <f>Raw!D11</f>
        <v>13</v>
      </c>
      <c r="F10" s="44">
        <f>Raw!E11*$B$4</f>
        <v>724.5875237038573</v>
      </c>
      <c r="G10" s="24">
        <f>Raw!F11</f>
        <v>0</v>
      </c>
      <c r="H10" s="24" t="str">
        <f>Raw!G11</f>
        <v>ResDHW</v>
      </c>
      <c r="I10" s="24">
        <f>Raw!H11</f>
        <v>0</v>
      </c>
      <c r="J10" s="24">
        <f>Raw!I11</f>
        <v>0</v>
      </c>
      <c r="K10" s="24">
        <f>Raw!J11</f>
        <v>0</v>
      </c>
      <c r="L10" s="24">
        <f>Raw!K11</f>
        <v>0</v>
      </c>
      <c r="M10" s="24">
        <f>Raw!L11</f>
        <v>0</v>
      </c>
      <c r="N10" s="24">
        <f>Raw!M11</f>
        <v>0</v>
      </c>
      <c r="O10" s="24">
        <f>Raw!N11</f>
        <v>0</v>
      </c>
      <c r="P10" s="24">
        <f>Raw!O11</f>
        <v>0</v>
      </c>
      <c r="Q10" s="24" t="str">
        <f>Raw!P11</f>
        <v/>
      </c>
      <c r="R10" s="41"/>
      <c r="S10" s="41"/>
      <c r="T10" s="41"/>
      <c r="U10" s="41"/>
      <c r="V10" s="41"/>
      <c r="W10" s="41"/>
      <c r="X10" s="41"/>
      <c r="Y10" s="41"/>
      <c r="Z10" s="41"/>
      <c r="AA10" s="41"/>
      <c r="AB10" s="41"/>
      <c r="AC10" s="41"/>
      <c r="AD10" s="41"/>
      <c r="AE10" s="41"/>
      <c r="AF10" s="41"/>
      <c r="AG10" s="41"/>
      <c r="AH10" s="41"/>
      <c r="AI10" s="41"/>
      <c r="AJ10" s="41"/>
      <c r="AK10" s="41"/>
      <c r="AL10" s="41"/>
      <c r="AM10" s="41"/>
    </row>
    <row r="11" spans="1:106" ht="25.5">
      <c r="A11" t="str">
        <f t="shared" si="0"/>
        <v>Tier1_garage_HZ2Heatkwh</v>
      </c>
      <c r="B11" s="24" t="str">
        <f>Raw!A12</f>
        <v>Tier1_garage_HZ2</v>
      </c>
      <c r="C11" s="24" t="str">
        <f>Raw!B12</f>
        <v>Heatkwh</v>
      </c>
      <c r="D11" s="24">
        <f>Raw!C12</f>
        <v>0</v>
      </c>
      <c r="E11" s="24">
        <f>Raw!D12</f>
        <v>13</v>
      </c>
      <c r="F11" s="44">
        <f>Raw!E12*$B$4</f>
        <v>0</v>
      </c>
      <c r="G11" s="24">
        <f>Raw!F12</f>
        <v>0</v>
      </c>
      <c r="H11" s="24" t="str">
        <f>Raw!G12</f>
        <v>ResSpHtFAFZ2</v>
      </c>
      <c r="I11" s="24">
        <f>Raw!H12</f>
        <v>0</v>
      </c>
      <c r="J11" s="24">
        <f>Raw!I12</f>
        <v>0</v>
      </c>
      <c r="K11" s="24">
        <f>Raw!J12</f>
        <v>0</v>
      </c>
      <c r="L11" s="24">
        <f>Raw!K12</f>
        <v>0</v>
      </c>
      <c r="M11" s="24">
        <f>Raw!L12</f>
        <v>0</v>
      </c>
      <c r="N11" s="24">
        <f>Raw!M12</f>
        <v>0</v>
      </c>
      <c r="O11" s="24">
        <f>Raw!N12</f>
        <v>0</v>
      </c>
      <c r="P11" s="24">
        <f>Raw!O12</f>
        <v>0</v>
      </c>
      <c r="Q11" s="24" t="str">
        <f>Raw!P12</f>
        <v/>
      </c>
      <c r="R11" s="41"/>
      <c r="S11" s="41"/>
      <c r="T11" s="41"/>
      <c r="U11" s="41"/>
      <c r="V11" s="41"/>
      <c r="W11" s="41"/>
      <c r="X11" s="41"/>
      <c r="Y11" s="41"/>
      <c r="Z11" s="41"/>
      <c r="AA11" s="41"/>
      <c r="AB11" s="41"/>
      <c r="AC11" s="41"/>
      <c r="AD11" s="41"/>
      <c r="AE11" s="41"/>
      <c r="AF11" s="41"/>
      <c r="AG11" s="41"/>
      <c r="AH11" s="41"/>
      <c r="AI11" s="41"/>
      <c r="AJ11" s="41"/>
      <c r="AK11" s="41"/>
      <c r="AL11" s="41"/>
      <c r="AM11" s="41"/>
    </row>
    <row r="12" spans="1:106" ht="25.5">
      <c r="A12" t="str">
        <f t="shared" si="0"/>
        <v>Tier1_garage_HZ2Coolkwh</v>
      </c>
      <c r="B12" s="24" t="str">
        <f>Raw!A13</f>
        <v>Tier1_garage_HZ2</v>
      </c>
      <c r="C12" s="24" t="str">
        <f>Raw!B13</f>
        <v>Coolkwh</v>
      </c>
      <c r="D12" s="24">
        <f>Raw!C13</f>
        <v>0</v>
      </c>
      <c r="E12" s="24">
        <f>Raw!D13</f>
        <v>13</v>
      </c>
      <c r="F12" s="44">
        <f>Raw!E13*$B$4</f>
        <v>0</v>
      </c>
      <c r="G12" s="24">
        <f>Raw!F13</f>
        <v>0</v>
      </c>
      <c r="H12" s="24" t="str">
        <f>Raw!G13</f>
        <v>ResCACPNW</v>
      </c>
      <c r="I12" s="24">
        <f>Raw!H13</f>
        <v>0</v>
      </c>
      <c r="J12" s="24">
        <f>Raw!I13</f>
        <v>0</v>
      </c>
      <c r="K12" s="24">
        <f>Raw!J13</f>
        <v>0</v>
      </c>
      <c r="L12" s="24">
        <f>Raw!K13</f>
        <v>0</v>
      </c>
      <c r="M12" s="24">
        <f>Raw!L13</f>
        <v>0</v>
      </c>
      <c r="N12" s="24">
        <f>Raw!M13</f>
        <v>0</v>
      </c>
      <c r="O12" s="24">
        <f>Raw!N13</f>
        <v>0</v>
      </c>
      <c r="P12" s="24">
        <f>Raw!O13</f>
        <v>0</v>
      </c>
      <c r="Q12" s="24" t="str">
        <f>Raw!P13</f>
        <v/>
      </c>
      <c r="R12" s="41"/>
      <c r="S12" s="41"/>
      <c r="T12" s="41"/>
      <c r="U12" s="41"/>
      <c r="V12" s="41"/>
      <c r="W12" s="41"/>
      <c r="X12" s="41"/>
      <c r="Y12" s="41"/>
      <c r="Z12" s="41"/>
      <c r="AA12" s="41"/>
      <c r="AB12" s="41"/>
      <c r="AC12" s="41"/>
      <c r="AD12" s="41"/>
      <c r="AE12" s="41"/>
      <c r="AF12" s="41"/>
      <c r="AG12" s="41"/>
      <c r="AH12" s="41"/>
      <c r="AI12" s="41"/>
      <c r="AJ12" s="41"/>
      <c r="AK12" s="41"/>
      <c r="AL12" s="41"/>
      <c r="AM12" s="41"/>
    </row>
    <row r="13" spans="1:106">
      <c r="A13" t="str">
        <f t="shared" si="0"/>
        <v>Tier1_garage_HZ3DHWkwh</v>
      </c>
      <c r="B13" s="24" t="str">
        <f>Raw!A14</f>
        <v>Tier1_garage_HZ3</v>
      </c>
      <c r="C13" s="24" t="str">
        <f>Raw!B14</f>
        <v>DHWkwh</v>
      </c>
      <c r="D13" s="24">
        <f>Raw!C14</f>
        <v>708.18500587491906</v>
      </c>
      <c r="E13" s="24">
        <f>Raw!D14</f>
        <v>13</v>
      </c>
      <c r="F13" s="44">
        <f>Raw!E14*$B$4</f>
        <v>724.5875237038573</v>
      </c>
      <c r="G13" s="24">
        <f>Raw!F14</f>
        <v>0</v>
      </c>
      <c r="H13" s="24" t="str">
        <f>Raw!G14</f>
        <v>ResDHW</v>
      </c>
      <c r="I13" s="24">
        <f>Raw!H14</f>
        <v>0</v>
      </c>
      <c r="J13" s="24">
        <f>Raw!I14</f>
        <v>0</v>
      </c>
      <c r="K13" s="24">
        <f>Raw!J14</f>
        <v>0</v>
      </c>
      <c r="L13" s="24">
        <f>Raw!K14</f>
        <v>0</v>
      </c>
      <c r="M13" s="24">
        <f>Raw!L14</f>
        <v>0</v>
      </c>
      <c r="N13" s="24">
        <f>Raw!M14</f>
        <v>0</v>
      </c>
      <c r="O13" s="24">
        <f>Raw!N14</f>
        <v>0</v>
      </c>
      <c r="P13" s="24">
        <f>Raw!O14</f>
        <v>0</v>
      </c>
      <c r="Q13" s="24" t="str">
        <f>Raw!P14</f>
        <v/>
      </c>
      <c r="R13" s="41"/>
      <c r="S13" s="41"/>
      <c r="T13" s="41"/>
      <c r="U13" s="41"/>
      <c r="V13" s="41"/>
      <c r="W13" s="41"/>
      <c r="X13" s="41"/>
      <c r="Y13" s="41"/>
      <c r="Z13" s="41"/>
      <c r="AA13" s="41"/>
      <c r="AB13" s="41"/>
      <c r="AC13" s="41"/>
      <c r="AD13" s="41"/>
      <c r="AE13" s="41"/>
      <c r="AF13" s="41"/>
      <c r="AG13" s="41"/>
      <c r="AH13" s="41"/>
      <c r="AI13" s="41"/>
      <c r="AJ13" s="41"/>
      <c r="AK13" s="41"/>
      <c r="AL13" s="41"/>
      <c r="AM13" s="41"/>
    </row>
    <row r="14" spans="1:106" ht="25.5">
      <c r="A14" t="str">
        <f t="shared" si="0"/>
        <v>Tier1_garage_HZ3Heatkwh</v>
      </c>
      <c r="B14" s="24" t="str">
        <f>Raw!A15</f>
        <v>Tier1_garage_HZ3</v>
      </c>
      <c r="C14" s="24" t="str">
        <f>Raw!B15</f>
        <v>Heatkwh</v>
      </c>
      <c r="D14" s="24">
        <f>Raw!C15</f>
        <v>0</v>
      </c>
      <c r="E14" s="24">
        <f>Raw!D15</f>
        <v>13</v>
      </c>
      <c r="F14" s="44">
        <f>Raw!E15*$B$4</f>
        <v>0</v>
      </c>
      <c r="G14" s="24">
        <f>Raw!F15</f>
        <v>0</v>
      </c>
      <c r="H14" s="24" t="str">
        <f>Raw!G15</f>
        <v>ResSpHtFAFZ3</v>
      </c>
      <c r="I14" s="24">
        <f>Raw!H15</f>
        <v>0</v>
      </c>
      <c r="J14" s="24">
        <f>Raw!I15</f>
        <v>0</v>
      </c>
      <c r="K14" s="24">
        <f>Raw!J15</f>
        <v>0</v>
      </c>
      <c r="L14" s="24">
        <f>Raw!K15</f>
        <v>0</v>
      </c>
      <c r="M14" s="24">
        <f>Raw!L15</f>
        <v>0</v>
      </c>
      <c r="N14" s="24">
        <f>Raw!M15</f>
        <v>0</v>
      </c>
      <c r="O14" s="24">
        <f>Raw!N15</f>
        <v>0</v>
      </c>
      <c r="P14" s="24">
        <f>Raw!O15</f>
        <v>0</v>
      </c>
      <c r="Q14" s="24" t="str">
        <f>Raw!P15</f>
        <v/>
      </c>
      <c r="R14" s="41"/>
      <c r="S14" s="41"/>
      <c r="T14" s="41"/>
      <c r="U14" s="41"/>
      <c r="V14" s="41"/>
      <c r="W14" s="41"/>
      <c r="X14" s="41"/>
      <c r="Y14" s="41"/>
      <c r="Z14" s="41"/>
      <c r="AA14" s="41"/>
      <c r="AB14" s="41"/>
      <c r="AC14" s="41"/>
      <c r="AD14" s="41"/>
      <c r="AE14" s="41"/>
      <c r="AF14" s="41"/>
      <c r="AG14" s="41"/>
      <c r="AH14" s="41"/>
      <c r="AI14" s="41"/>
      <c r="AJ14" s="41"/>
      <c r="AK14" s="41"/>
      <c r="AL14" s="41"/>
      <c r="AM14" s="41"/>
    </row>
    <row r="15" spans="1:106" ht="25.5">
      <c r="A15" t="str">
        <f t="shared" si="0"/>
        <v>Tier1_garage_HZ3Coolkwh</v>
      </c>
      <c r="B15" s="24" t="str">
        <f>Raw!A16</f>
        <v>Tier1_garage_HZ3</v>
      </c>
      <c r="C15" s="24" t="str">
        <f>Raw!B16</f>
        <v>Coolkwh</v>
      </c>
      <c r="D15" s="24">
        <f>Raw!C16</f>
        <v>0</v>
      </c>
      <c r="E15" s="24">
        <f>Raw!D16</f>
        <v>13</v>
      </c>
      <c r="F15" s="44">
        <f>Raw!E16*$B$4</f>
        <v>0</v>
      </c>
      <c r="G15" s="24">
        <f>Raw!F16</f>
        <v>0</v>
      </c>
      <c r="H15" s="24" t="str">
        <f>Raw!G16</f>
        <v>ResCACPNW</v>
      </c>
      <c r="I15" s="24">
        <f>Raw!H16</f>
        <v>0</v>
      </c>
      <c r="J15" s="24">
        <f>Raw!I16</f>
        <v>0</v>
      </c>
      <c r="K15" s="24">
        <f>Raw!J16</f>
        <v>0</v>
      </c>
      <c r="L15" s="24">
        <f>Raw!K16</f>
        <v>0</v>
      </c>
      <c r="M15" s="24">
        <f>Raw!L16</f>
        <v>0</v>
      </c>
      <c r="N15" s="24">
        <f>Raw!M16</f>
        <v>0</v>
      </c>
      <c r="O15" s="24">
        <f>Raw!N16</f>
        <v>0</v>
      </c>
      <c r="P15" s="24">
        <f>Raw!O16</f>
        <v>0</v>
      </c>
      <c r="Q15" s="24" t="str">
        <f>Raw!P16</f>
        <v/>
      </c>
      <c r="R15" s="41"/>
      <c r="S15" s="41"/>
      <c r="T15" s="41"/>
      <c r="U15" s="41"/>
      <c r="V15" s="41"/>
      <c r="W15" s="41"/>
      <c r="X15" s="41"/>
      <c r="Y15" s="41"/>
      <c r="Z15" s="41"/>
      <c r="AA15" s="41"/>
      <c r="AB15" s="41"/>
      <c r="AC15" s="41"/>
      <c r="AD15" s="41"/>
      <c r="AE15" s="41"/>
      <c r="AF15" s="41"/>
      <c r="AG15" s="41"/>
      <c r="AH15" s="41"/>
      <c r="AI15" s="41"/>
      <c r="AJ15" s="41"/>
      <c r="AK15" s="41"/>
      <c r="AL15" s="41"/>
      <c r="AM15" s="41"/>
    </row>
    <row r="16" spans="1:106">
      <c r="A16" t="str">
        <f t="shared" si="0"/>
        <v>Tier1_basmnt_HZ1DHWkwh</v>
      </c>
      <c r="B16" s="24" t="str">
        <f>Raw!A17</f>
        <v>Tier1_basmnt_HZ1</v>
      </c>
      <c r="C16" s="24" t="str">
        <f>Raw!B17</f>
        <v>DHWkwh</v>
      </c>
      <c r="D16" s="24">
        <f>Raw!C17</f>
        <v>1116.4145429490518</v>
      </c>
      <c r="E16" s="24">
        <f>Raw!D17</f>
        <v>13</v>
      </c>
      <c r="F16" s="44">
        <f>Raw!E17*$B$4</f>
        <v>724.5875237038573</v>
      </c>
      <c r="G16" s="24">
        <f>Raw!F17</f>
        <v>0</v>
      </c>
      <c r="H16" s="24" t="str">
        <f>Raw!G17</f>
        <v>ResDHW</v>
      </c>
      <c r="I16" s="24">
        <f>Raw!H17</f>
        <v>0</v>
      </c>
      <c r="J16" s="24">
        <f>Raw!I17</f>
        <v>0</v>
      </c>
      <c r="K16" s="24">
        <f>Raw!J17</f>
        <v>0</v>
      </c>
      <c r="L16" s="24">
        <f>Raw!K17</f>
        <v>0</v>
      </c>
      <c r="M16" s="24">
        <f>Raw!L17</f>
        <v>0</v>
      </c>
      <c r="N16" s="24">
        <f>Raw!M17</f>
        <v>0</v>
      </c>
      <c r="O16" s="24">
        <f>Raw!N17</f>
        <v>0</v>
      </c>
      <c r="P16" s="24">
        <f>Raw!O17</f>
        <v>0</v>
      </c>
      <c r="Q16" s="24" t="str">
        <f>Raw!P17</f>
        <v/>
      </c>
      <c r="R16" s="41"/>
      <c r="S16" s="41"/>
      <c r="T16" s="41"/>
      <c r="U16" s="41"/>
      <c r="V16" s="41"/>
      <c r="W16" s="41"/>
      <c r="X16" s="41"/>
      <c r="Y16" s="41"/>
      <c r="Z16" s="41"/>
      <c r="AA16" s="41"/>
      <c r="AB16" s="41"/>
      <c r="AC16" s="41"/>
      <c r="AD16" s="41"/>
      <c r="AE16" s="41"/>
      <c r="AF16" s="41"/>
      <c r="AG16" s="41"/>
      <c r="AH16" s="41"/>
      <c r="AI16" s="41"/>
      <c r="AJ16" s="41"/>
      <c r="AK16" s="41"/>
      <c r="AL16" s="41"/>
      <c r="AM16" s="41"/>
    </row>
    <row r="17" spans="1:39" ht="25.5">
      <c r="A17" t="str">
        <f t="shared" si="0"/>
        <v>Tier1_basmnt_HZ1Heatkwh</v>
      </c>
      <c r="B17" s="24" t="str">
        <f>Raw!A18</f>
        <v>Tier1_basmnt_HZ1</v>
      </c>
      <c r="C17" s="24" t="str">
        <f>Raw!B18</f>
        <v>Heatkwh</v>
      </c>
      <c r="D17" s="24">
        <f>Raw!C18</f>
        <v>0</v>
      </c>
      <c r="E17" s="24">
        <f>Raw!D18</f>
        <v>13</v>
      </c>
      <c r="F17" s="44">
        <f>Raw!E18*$B$4</f>
        <v>0</v>
      </c>
      <c r="G17" s="24">
        <f>Raw!F18</f>
        <v>0</v>
      </c>
      <c r="H17" s="24" t="str">
        <f>Raw!G18</f>
        <v>ResSpHtFAFZ1</v>
      </c>
      <c r="I17" s="24">
        <f>Raw!H18</f>
        <v>0</v>
      </c>
      <c r="J17" s="24">
        <f>Raw!I18</f>
        <v>0</v>
      </c>
      <c r="K17" s="24">
        <f>Raw!J18</f>
        <v>0</v>
      </c>
      <c r="L17" s="24">
        <f>Raw!K18</f>
        <v>0</v>
      </c>
      <c r="M17" s="24">
        <f>Raw!L18</f>
        <v>0</v>
      </c>
      <c r="N17" s="24">
        <f>Raw!M18</f>
        <v>0</v>
      </c>
      <c r="O17" s="24">
        <f>Raw!N18</f>
        <v>0</v>
      </c>
      <c r="P17" s="24">
        <f>Raw!O18</f>
        <v>0</v>
      </c>
      <c r="Q17" s="24" t="str">
        <f>Raw!P18</f>
        <v/>
      </c>
      <c r="R17" s="41"/>
      <c r="S17" s="41"/>
      <c r="T17" s="41"/>
      <c r="U17" s="41"/>
      <c r="V17" s="41"/>
      <c r="W17" s="41"/>
      <c r="X17" s="41"/>
      <c r="Y17" s="41"/>
      <c r="Z17" s="41"/>
      <c r="AA17" s="41"/>
      <c r="AB17" s="41"/>
      <c r="AC17" s="41"/>
      <c r="AD17" s="41"/>
      <c r="AE17" s="41"/>
      <c r="AF17" s="41"/>
      <c r="AG17" s="41"/>
      <c r="AH17" s="41"/>
      <c r="AI17" s="41"/>
      <c r="AJ17" s="41"/>
      <c r="AK17" s="41"/>
      <c r="AL17" s="41"/>
      <c r="AM17" s="41"/>
    </row>
    <row r="18" spans="1:39" ht="25.5">
      <c r="A18" t="str">
        <f t="shared" si="0"/>
        <v>Tier1_basmnt_HZ1Coolkwh</v>
      </c>
      <c r="B18" s="24" t="str">
        <f>Raw!A19</f>
        <v>Tier1_basmnt_HZ1</v>
      </c>
      <c r="C18" s="24" t="str">
        <f>Raw!B19</f>
        <v>Coolkwh</v>
      </c>
      <c r="D18" s="24">
        <f>Raw!C19</f>
        <v>0</v>
      </c>
      <c r="E18" s="24">
        <f>Raw!D19</f>
        <v>13</v>
      </c>
      <c r="F18" s="44">
        <f>Raw!E19*$B$4</f>
        <v>0</v>
      </c>
      <c r="G18" s="24">
        <f>Raw!F19</f>
        <v>0</v>
      </c>
      <c r="H18" s="24" t="str">
        <f>Raw!G19</f>
        <v>ResCACPNW</v>
      </c>
      <c r="I18" s="24">
        <f>Raw!H19</f>
        <v>0</v>
      </c>
      <c r="J18" s="24">
        <f>Raw!I19</f>
        <v>0</v>
      </c>
      <c r="K18" s="24">
        <f>Raw!J19</f>
        <v>0</v>
      </c>
      <c r="L18" s="24">
        <f>Raw!K19</f>
        <v>0</v>
      </c>
      <c r="M18" s="24">
        <f>Raw!L19</f>
        <v>0</v>
      </c>
      <c r="N18" s="24">
        <f>Raw!M19</f>
        <v>0</v>
      </c>
      <c r="O18" s="24">
        <f>Raw!N19</f>
        <v>0</v>
      </c>
      <c r="P18" s="24">
        <f>Raw!O19</f>
        <v>0</v>
      </c>
      <c r="Q18" s="24" t="str">
        <f>Raw!P19</f>
        <v/>
      </c>
    </row>
    <row r="19" spans="1:39">
      <c r="A19" t="str">
        <f t="shared" si="0"/>
        <v>Tier1_basmnt_HZ2DHWkwh</v>
      </c>
      <c r="B19" s="24" t="str">
        <f>Raw!A20</f>
        <v>Tier1_basmnt_HZ2</v>
      </c>
      <c r="C19" s="24" t="str">
        <f>Raw!B20</f>
        <v>DHWkwh</v>
      </c>
      <c r="D19" s="24">
        <f>Raw!C20</f>
        <v>1154.5781799953099</v>
      </c>
      <c r="E19" s="24">
        <f>Raw!D20</f>
        <v>13</v>
      </c>
      <c r="F19" s="44">
        <f>Raw!E20*$B$4</f>
        <v>724.5875237038573</v>
      </c>
      <c r="G19" s="24">
        <f>Raw!F20</f>
        <v>0</v>
      </c>
      <c r="H19" s="24" t="str">
        <f>Raw!G20</f>
        <v>ResDHW</v>
      </c>
      <c r="I19" s="24">
        <f>Raw!H20</f>
        <v>0</v>
      </c>
      <c r="J19" s="24">
        <f>Raw!I20</f>
        <v>0</v>
      </c>
      <c r="K19" s="24">
        <f>Raw!J20</f>
        <v>0</v>
      </c>
      <c r="L19" s="24">
        <f>Raw!K20</f>
        <v>0</v>
      </c>
      <c r="M19" s="24">
        <f>Raw!L20</f>
        <v>0</v>
      </c>
      <c r="N19" s="24">
        <f>Raw!M20</f>
        <v>0</v>
      </c>
      <c r="O19" s="24">
        <f>Raw!N20</f>
        <v>0</v>
      </c>
      <c r="P19" s="24">
        <f>Raw!O20</f>
        <v>0</v>
      </c>
      <c r="Q19" s="24" t="str">
        <f>Raw!P20</f>
        <v/>
      </c>
    </row>
    <row r="20" spans="1:39" ht="25.5">
      <c r="A20" t="str">
        <f t="shared" si="0"/>
        <v>Tier1_basmnt_HZ2Heatkwh</v>
      </c>
      <c r="B20" s="24" t="str">
        <f>Raw!A21</f>
        <v>Tier1_basmnt_HZ2</v>
      </c>
      <c r="C20" s="24" t="str">
        <f>Raw!B21</f>
        <v>Heatkwh</v>
      </c>
      <c r="D20" s="24">
        <f>Raw!C21</f>
        <v>0</v>
      </c>
      <c r="E20" s="24">
        <f>Raw!D21</f>
        <v>13</v>
      </c>
      <c r="F20" s="44">
        <f>Raw!E21*$B$4</f>
        <v>0</v>
      </c>
      <c r="G20" s="24">
        <f>Raw!F21</f>
        <v>0</v>
      </c>
      <c r="H20" s="24" t="str">
        <f>Raw!G21</f>
        <v>ResSpHtFAFZ2</v>
      </c>
      <c r="I20" s="24">
        <f>Raw!H21</f>
        <v>0</v>
      </c>
      <c r="J20" s="24">
        <f>Raw!I21</f>
        <v>0</v>
      </c>
      <c r="K20" s="24">
        <f>Raw!J21</f>
        <v>0</v>
      </c>
      <c r="L20" s="24">
        <f>Raw!K21</f>
        <v>0</v>
      </c>
      <c r="M20" s="24">
        <f>Raw!L21</f>
        <v>0</v>
      </c>
      <c r="N20" s="24">
        <f>Raw!M21</f>
        <v>0</v>
      </c>
      <c r="O20" s="24">
        <f>Raw!N21</f>
        <v>0</v>
      </c>
      <c r="P20" s="24">
        <f>Raw!O21</f>
        <v>0</v>
      </c>
      <c r="Q20" s="24" t="str">
        <f>Raw!P21</f>
        <v/>
      </c>
    </row>
    <row r="21" spans="1:39" ht="25.5">
      <c r="A21" t="str">
        <f t="shared" si="0"/>
        <v>Tier1_basmnt_HZ2Coolkwh</v>
      </c>
      <c r="B21" s="24" t="str">
        <f>Raw!A22</f>
        <v>Tier1_basmnt_HZ2</v>
      </c>
      <c r="C21" s="24" t="str">
        <f>Raw!B22</f>
        <v>Coolkwh</v>
      </c>
      <c r="D21" s="24">
        <f>Raw!C22</f>
        <v>0</v>
      </c>
      <c r="E21" s="24">
        <f>Raw!D22</f>
        <v>13</v>
      </c>
      <c r="F21" s="44">
        <f>Raw!E22*$B$4</f>
        <v>0</v>
      </c>
      <c r="G21" s="24">
        <f>Raw!F22</f>
        <v>0</v>
      </c>
      <c r="H21" s="24" t="str">
        <f>Raw!G22</f>
        <v>ResCACPNW</v>
      </c>
      <c r="I21" s="24">
        <f>Raw!H22</f>
        <v>0</v>
      </c>
      <c r="J21" s="24">
        <f>Raw!I22</f>
        <v>0</v>
      </c>
      <c r="K21" s="24">
        <f>Raw!J22</f>
        <v>0</v>
      </c>
      <c r="L21" s="24">
        <f>Raw!K22</f>
        <v>0</v>
      </c>
      <c r="M21" s="24">
        <f>Raw!L22</f>
        <v>0</v>
      </c>
      <c r="N21" s="24">
        <f>Raw!M22</f>
        <v>0</v>
      </c>
      <c r="O21" s="24">
        <f>Raw!N22</f>
        <v>0</v>
      </c>
      <c r="P21" s="24">
        <f>Raw!O22</f>
        <v>0</v>
      </c>
      <c r="Q21" s="24" t="str">
        <f>Raw!P22</f>
        <v/>
      </c>
    </row>
    <row r="22" spans="1:39">
      <c r="A22" t="str">
        <f t="shared" si="0"/>
        <v>Tier1_basmnt_HZ3DHWkwh</v>
      </c>
      <c r="B22" s="24" t="str">
        <f>Raw!A23</f>
        <v>Tier1_basmnt_HZ3</v>
      </c>
      <c r="C22" s="24" t="str">
        <f>Raw!B23</f>
        <v>DHWkwh</v>
      </c>
      <c r="D22" s="24">
        <f>Raw!C23</f>
        <v>1160.5119961063936</v>
      </c>
      <c r="E22" s="24">
        <f>Raw!D23</f>
        <v>13</v>
      </c>
      <c r="F22" s="44">
        <f>Raw!E23*$B$4</f>
        <v>724.5875237038573</v>
      </c>
      <c r="G22" s="24">
        <f>Raw!F23</f>
        <v>0</v>
      </c>
      <c r="H22" s="24" t="str">
        <f>Raw!G23</f>
        <v>ResDHW</v>
      </c>
      <c r="I22" s="24">
        <f>Raw!H23</f>
        <v>0</v>
      </c>
      <c r="J22" s="24">
        <f>Raw!I23</f>
        <v>0</v>
      </c>
      <c r="K22" s="24">
        <f>Raw!J23</f>
        <v>0</v>
      </c>
      <c r="L22" s="24">
        <f>Raw!K23</f>
        <v>0</v>
      </c>
      <c r="M22" s="24">
        <f>Raw!L23</f>
        <v>0</v>
      </c>
      <c r="N22" s="24">
        <f>Raw!M23</f>
        <v>0</v>
      </c>
      <c r="O22" s="24">
        <f>Raw!N23</f>
        <v>0</v>
      </c>
      <c r="P22" s="24">
        <f>Raw!O23</f>
        <v>0</v>
      </c>
      <c r="Q22" s="24" t="str">
        <f>Raw!P23</f>
        <v/>
      </c>
    </row>
    <row r="23" spans="1:39" ht="25.5">
      <c r="A23" t="str">
        <f t="shared" si="0"/>
        <v>Tier1_basmnt_HZ3Heatkwh</v>
      </c>
      <c r="B23" s="24" t="str">
        <f>Raw!A24</f>
        <v>Tier1_basmnt_HZ3</v>
      </c>
      <c r="C23" s="24" t="str">
        <f>Raw!B24</f>
        <v>Heatkwh</v>
      </c>
      <c r="D23" s="24">
        <f>Raw!C24</f>
        <v>0</v>
      </c>
      <c r="E23" s="24">
        <f>Raw!D24</f>
        <v>13</v>
      </c>
      <c r="F23" s="44">
        <f>Raw!E24*$B$4</f>
        <v>0</v>
      </c>
      <c r="G23" s="24">
        <f>Raw!F24</f>
        <v>0</v>
      </c>
      <c r="H23" s="24" t="str">
        <f>Raw!G24</f>
        <v>ResSpHtFAFZ3</v>
      </c>
      <c r="I23" s="24">
        <f>Raw!H24</f>
        <v>0</v>
      </c>
      <c r="J23" s="24">
        <f>Raw!I24</f>
        <v>0</v>
      </c>
      <c r="K23" s="24">
        <f>Raw!J24</f>
        <v>0</v>
      </c>
      <c r="L23" s="24">
        <f>Raw!K24</f>
        <v>0</v>
      </c>
      <c r="M23" s="24">
        <f>Raw!L24</f>
        <v>0</v>
      </c>
      <c r="N23" s="24">
        <f>Raw!M24</f>
        <v>0</v>
      </c>
      <c r="O23" s="24">
        <f>Raw!N24</f>
        <v>0</v>
      </c>
      <c r="P23" s="24">
        <f>Raw!O24</f>
        <v>0</v>
      </c>
      <c r="Q23" s="24" t="str">
        <f>Raw!P24</f>
        <v/>
      </c>
    </row>
    <row r="24" spans="1:39" ht="25.5">
      <c r="A24" t="str">
        <f t="shared" si="0"/>
        <v>Tier1_basmnt_HZ3Coolkwh</v>
      </c>
      <c r="B24" s="24" t="str">
        <f>Raw!A25</f>
        <v>Tier1_basmnt_HZ3</v>
      </c>
      <c r="C24" s="24" t="str">
        <f>Raw!B25</f>
        <v>Coolkwh</v>
      </c>
      <c r="D24" s="24">
        <f>Raw!C25</f>
        <v>0</v>
      </c>
      <c r="E24" s="24">
        <f>Raw!D25</f>
        <v>13</v>
      </c>
      <c r="F24" s="44">
        <f>Raw!E25*$B$4</f>
        <v>0</v>
      </c>
      <c r="G24" s="24">
        <f>Raw!F25</f>
        <v>0</v>
      </c>
      <c r="H24" s="24" t="str">
        <f>Raw!G25</f>
        <v>ResCACPNW</v>
      </c>
      <c r="I24" s="24">
        <f>Raw!H25</f>
        <v>0</v>
      </c>
      <c r="J24" s="24">
        <f>Raw!I25</f>
        <v>0</v>
      </c>
      <c r="K24" s="24">
        <f>Raw!J25</f>
        <v>0</v>
      </c>
      <c r="L24" s="24">
        <f>Raw!K25</f>
        <v>0</v>
      </c>
      <c r="M24" s="24">
        <f>Raw!L25</f>
        <v>0</v>
      </c>
      <c r="N24" s="24">
        <f>Raw!M25</f>
        <v>0</v>
      </c>
      <c r="O24" s="24">
        <f>Raw!N25</f>
        <v>0</v>
      </c>
      <c r="P24" s="24">
        <f>Raw!O25</f>
        <v>0</v>
      </c>
      <c r="Q24" s="24" t="str">
        <f>Raw!P25</f>
        <v/>
      </c>
    </row>
    <row r="25" spans="1:39">
      <c r="A25" t="str">
        <f t="shared" si="0"/>
        <v>Tier1_indor2_HZ1_gfncDHWkwh</v>
      </c>
      <c r="B25" s="24" t="str">
        <f>Raw!A26</f>
        <v>Tier1_indor2_HZ1_gfnc</v>
      </c>
      <c r="C25" s="24" t="str">
        <f>Raw!B26</f>
        <v>DHWkwh</v>
      </c>
      <c r="D25" s="24">
        <f>Raw!C26</f>
        <v>1243.8604062944223</v>
      </c>
      <c r="E25" s="24">
        <f>Raw!D26</f>
        <v>13</v>
      </c>
      <c r="F25" s="44">
        <f>Raw!E26*$B$4</f>
        <v>724.5875237038573</v>
      </c>
      <c r="G25" s="24">
        <f>Raw!F26</f>
        <v>0</v>
      </c>
      <c r="H25" s="24" t="str">
        <f>Raw!G26</f>
        <v>ResDHW</v>
      </c>
      <c r="I25" s="24">
        <f>Raw!H26</f>
        <v>-5.0636600354656078</v>
      </c>
      <c r="J25" s="24">
        <f>Raw!I26</f>
        <v>0</v>
      </c>
      <c r="K25" s="24">
        <f>Raw!J26</f>
        <v>0</v>
      </c>
      <c r="L25" s="24">
        <f>Raw!K26</f>
        <v>0</v>
      </c>
      <c r="M25" s="24">
        <f>Raw!L26</f>
        <v>0</v>
      </c>
      <c r="N25" s="24">
        <f>Raw!M26</f>
        <v>0</v>
      </c>
      <c r="O25" s="24">
        <f>Raw!N26</f>
        <v>0</v>
      </c>
      <c r="P25" s="24">
        <f>Raw!O26</f>
        <v>0</v>
      </c>
      <c r="Q25" s="24" t="str">
        <f>Raw!P26</f>
        <v/>
      </c>
    </row>
    <row r="26" spans="1:39" ht="25.5">
      <c r="A26" t="str">
        <f t="shared" si="0"/>
        <v>Tier1_indor2_HZ1_gfncHeatkwh</v>
      </c>
      <c r="B26" s="24" t="str">
        <f>Raw!A27</f>
        <v>Tier1_indor2_HZ1_gfnc</v>
      </c>
      <c r="C26" s="24" t="str">
        <f>Raw!B27</f>
        <v>Heatkwh</v>
      </c>
      <c r="D26" s="24">
        <f>Raw!C27</f>
        <v>-13.070000166581625</v>
      </c>
      <c r="E26" s="24">
        <f>Raw!D27</f>
        <v>13</v>
      </c>
      <c r="F26" s="44">
        <f>Raw!E27*$B$4</f>
        <v>0</v>
      </c>
      <c r="G26" s="24">
        <f>Raw!F27</f>
        <v>0</v>
      </c>
      <c r="H26" s="24" t="str">
        <f>Raw!G27</f>
        <v>ResSpHtFAFZ1</v>
      </c>
      <c r="I26" s="24">
        <f>Raw!H27</f>
        <v>-5.0636600354656078</v>
      </c>
      <c r="J26" s="24">
        <f>Raw!I27</f>
        <v>0</v>
      </c>
      <c r="K26" s="24">
        <f>Raw!J27</f>
        <v>0</v>
      </c>
      <c r="L26" s="24">
        <f>Raw!K27</f>
        <v>0</v>
      </c>
      <c r="M26" s="24">
        <f>Raw!L27</f>
        <v>0</v>
      </c>
      <c r="N26" s="24">
        <f>Raw!M27</f>
        <v>0</v>
      </c>
      <c r="O26" s="24">
        <f>Raw!N27</f>
        <v>0</v>
      </c>
      <c r="P26" s="24">
        <f>Raw!O27</f>
        <v>-19.724819855006501</v>
      </c>
      <c r="Q26" s="24" t="str">
        <f>Raw!P27</f>
        <v>ResSpHtFAFZ1</v>
      </c>
    </row>
    <row r="27" spans="1:39" ht="25.5">
      <c r="A27" t="str">
        <f t="shared" si="0"/>
        <v>Tier1_indor2_HZ1_gfncCoolkwh</v>
      </c>
      <c r="B27" s="24" t="str">
        <f>Raw!A28</f>
        <v>Tier1_indor2_HZ1_gfnc</v>
      </c>
      <c r="C27" s="24" t="str">
        <f>Raw!B28</f>
        <v>Coolkwh</v>
      </c>
      <c r="D27" s="24">
        <f>Raw!C28</f>
        <v>0</v>
      </c>
      <c r="E27" s="24">
        <f>Raw!D28</f>
        <v>13</v>
      </c>
      <c r="F27" s="44">
        <f>Raw!E28*$B$4</f>
        <v>0</v>
      </c>
      <c r="G27" s="24">
        <f>Raw!F28</f>
        <v>0</v>
      </c>
      <c r="H27" s="24" t="str">
        <f>Raw!G28</f>
        <v>ResCACPNW</v>
      </c>
      <c r="I27" s="24">
        <f>Raw!H28</f>
        <v>-5.0636600354656078</v>
      </c>
      <c r="J27" s="24">
        <f>Raw!I28</f>
        <v>0</v>
      </c>
      <c r="K27" s="24">
        <f>Raw!J28</f>
        <v>0</v>
      </c>
      <c r="L27" s="24">
        <f>Raw!K28</f>
        <v>0</v>
      </c>
      <c r="M27" s="24">
        <f>Raw!L28</f>
        <v>0</v>
      </c>
      <c r="N27" s="24">
        <f>Raw!M28</f>
        <v>0</v>
      </c>
      <c r="O27" s="24">
        <f>Raw!N28</f>
        <v>0</v>
      </c>
      <c r="P27" s="24">
        <f>Raw!O28</f>
        <v>0</v>
      </c>
      <c r="Q27" s="24" t="str">
        <f>Raw!P28</f>
        <v/>
      </c>
    </row>
    <row r="28" spans="1:39">
      <c r="A28" t="str">
        <f t="shared" si="0"/>
        <v>Tier1_indor2_HZ1_gfacDHWkwh</v>
      </c>
      <c r="B28" s="24" t="str">
        <f>Raw!A29</f>
        <v>Tier1_indor2_HZ1_gfac</v>
      </c>
      <c r="C28" s="24" t="str">
        <f>Raw!B29</f>
        <v>DHWkwh</v>
      </c>
      <c r="D28" s="24">
        <f>Raw!C29</f>
        <v>1231.405372006785</v>
      </c>
      <c r="E28" s="24">
        <f>Raw!D29</f>
        <v>13</v>
      </c>
      <c r="F28" s="44">
        <f>Raw!E29*$B$4</f>
        <v>724.5875237038573</v>
      </c>
      <c r="G28" s="24">
        <f>Raw!F29</f>
        <v>0</v>
      </c>
      <c r="H28" s="24" t="str">
        <f>Raw!G29</f>
        <v>ResDHW</v>
      </c>
      <c r="I28" s="24">
        <f>Raw!H29</f>
        <v>-5.1132419896161725</v>
      </c>
      <c r="J28" s="24">
        <f>Raw!I29</f>
        <v>0</v>
      </c>
      <c r="K28" s="24">
        <f>Raw!J29</f>
        <v>0</v>
      </c>
      <c r="L28" s="24">
        <f>Raw!K29</f>
        <v>0</v>
      </c>
      <c r="M28" s="24">
        <f>Raw!L29</f>
        <v>0</v>
      </c>
      <c r="N28" s="24">
        <f>Raw!M29</f>
        <v>0</v>
      </c>
      <c r="O28" s="24">
        <f>Raw!N29</f>
        <v>0</v>
      </c>
      <c r="P28" s="24">
        <f>Raw!O29</f>
        <v>0</v>
      </c>
      <c r="Q28" s="24" t="str">
        <f>Raw!P29</f>
        <v/>
      </c>
    </row>
    <row r="29" spans="1:39" ht="25.5">
      <c r="A29" t="str">
        <f t="shared" si="0"/>
        <v>Tier1_indor2_HZ1_gfacHeatkwh</v>
      </c>
      <c r="B29" s="24" t="str">
        <f>Raw!A30</f>
        <v>Tier1_indor2_HZ1_gfac</v>
      </c>
      <c r="C29" s="24" t="str">
        <f>Raw!B30</f>
        <v>Heatkwh</v>
      </c>
      <c r="D29" s="24">
        <f>Raw!C30</f>
        <v>-14.549592352923362</v>
      </c>
      <c r="E29" s="24">
        <f>Raw!D30</f>
        <v>13</v>
      </c>
      <c r="F29" s="44">
        <f>Raw!E30*$B$4</f>
        <v>0</v>
      </c>
      <c r="G29" s="24">
        <f>Raw!F30</f>
        <v>0</v>
      </c>
      <c r="H29" s="24" t="str">
        <f>Raw!G30</f>
        <v>ResSpHtFAFZ1</v>
      </c>
      <c r="I29" s="24">
        <f>Raw!H30</f>
        <v>-5.1132419896161725</v>
      </c>
      <c r="J29" s="24">
        <f>Raw!I30</f>
        <v>0</v>
      </c>
      <c r="K29" s="24">
        <f>Raw!J30</f>
        <v>0</v>
      </c>
      <c r="L29" s="24">
        <f>Raw!K30</f>
        <v>0</v>
      </c>
      <c r="M29" s="24">
        <f>Raw!L30</f>
        <v>0</v>
      </c>
      <c r="N29" s="24">
        <f>Raw!M30</f>
        <v>0</v>
      </c>
      <c r="O29" s="24">
        <f>Raw!N30</f>
        <v>0</v>
      </c>
      <c r="P29" s="24">
        <f>Raw!O30</f>
        <v>-19.866369581760637</v>
      </c>
      <c r="Q29" s="24" t="str">
        <f>Raw!P30</f>
        <v>ResSpHtFAFZ1</v>
      </c>
    </row>
    <row r="30" spans="1:39" ht="25.5">
      <c r="A30" t="str">
        <f t="shared" si="0"/>
        <v>Tier1_indor2_HZ1_gfacCoolkwh</v>
      </c>
      <c r="B30" s="24" t="str">
        <f>Raw!A31</f>
        <v>Tier1_indor2_HZ1_gfac</v>
      </c>
      <c r="C30" s="24" t="str">
        <f>Raw!B31</f>
        <v>Coolkwh</v>
      </c>
      <c r="D30" s="24">
        <f>Raw!C31</f>
        <v>29.380580089516688</v>
      </c>
      <c r="E30" s="24">
        <f>Raw!D31</f>
        <v>13</v>
      </c>
      <c r="F30" s="44">
        <f>Raw!E31*$B$4</f>
        <v>0</v>
      </c>
      <c r="G30" s="24">
        <f>Raw!F31</f>
        <v>0</v>
      </c>
      <c r="H30" s="24" t="str">
        <f>Raw!G31</f>
        <v>ResCACPNW</v>
      </c>
      <c r="I30" s="24">
        <f>Raw!H31</f>
        <v>-5.1132419896161725</v>
      </c>
      <c r="J30" s="24">
        <f>Raw!I31</f>
        <v>0</v>
      </c>
      <c r="K30" s="24">
        <f>Raw!J31</f>
        <v>0</v>
      </c>
      <c r="L30" s="24">
        <f>Raw!K31</f>
        <v>0</v>
      </c>
      <c r="M30" s="24">
        <f>Raw!L31</f>
        <v>0</v>
      </c>
      <c r="N30" s="24">
        <f>Raw!M31</f>
        <v>0</v>
      </c>
      <c r="O30" s="24">
        <f>Raw!N31</f>
        <v>0</v>
      </c>
      <c r="P30" s="24">
        <f>Raw!O31</f>
        <v>0</v>
      </c>
      <c r="Q30" s="24" t="str">
        <f>Raw!P31</f>
        <v/>
      </c>
    </row>
    <row r="31" spans="1:39">
      <c r="A31" t="str">
        <f t="shared" si="0"/>
        <v>Tier1_indor2_HZ1_efafDHWkwh</v>
      </c>
      <c r="B31" s="24" t="str">
        <f>Raw!A32</f>
        <v>Tier1_indor2_HZ1_efaf</v>
      </c>
      <c r="C31" s="24" t="str">
        <f>Raw!B32</f>
        <v>DHWkwh</v>
      </c>
      <c r="D31" s="24">
        <f>Raw!C32</f>
        <v>1243.8604062944223</v>
      </c>
      <c r="E31" s="24">
        <f>Raw!D32</f>
        <v>13</v>
      </c>
      <c r="F31" s="44">
        <f>Raw!E32*$B$4</f>
        <v>724.5875237038573</v>
      </c>
      <c r="G31" s="24">
        <f>Raw!F32</f>
        <v>0</v>
      </c>
      <c r="H31" s="24" t="str">
        <f>Raw!G32</f>
        <v>ResDHW</v>
      </c>
      <c r="I31" s="24">
        <f>Raw!H32</f>
        <v>-3.5688983656613202</v>
      </c>
      <c r="J31" s="24">
        <f>Raw!I32</f>
        <v>0</v>
      </c>
      <c r="K31" s="24">
        <f>Raw!J32</f>
        <v>0</v>
      </c>
      <c r="L31" s="24">
        <f>Raw!K32</f>
        <v>0</v>
      </c>
      <c r="M31" s="24">
        <f>Raw!L32</f>
        <v>0</v>
      </c>
      <c r="N31" s="24">
        <f>Raw!M32</f>
        <v>0</v>
      </c>
      <c r="O31" s="24">
        <f>Raw!N32</f>
        <v>0</v>
      </c>
      <c r="P31" s="24">
        <f>Raw!O32</f>
        <v>0</v>
      </c>
      <c r="Q31" s="24" t="str">
        <f>Raw!P32</f>
        <v/>
      </c>
    </row>
    <row r="32" spans="1:39" ht="25.5">
      <c r="A32" t="str">
        <f t="shared" si="0"/>
        <v>Tier1_indor2_HZ1_efafHeatkwh</v>
      </c>
      <c r="B32" s="24" t="str">
        <f>Raw!A33</f>
        <v>Tier1_indor2_HZ1_efaf</v>
      </c>
      <c r="C32" s="24" t="str">
        <f>Raw!B33</f>
        <v>Heatkwh</v>
      </c>
      <c r="D32" s="24">
        <f>Raw!C33</f>
        <v>-351.50921222766476</v>
      </c>
      <c r="E32" s="24">
        <f>Raw!D33</f>
        <v>13</v>
      </c>
      <c r="F32" s="44">
        <f>Raw!E33*$B$4</f>
        <v>0</v>
      </c>
      <c r="G32" s="24">
        <f>Raw!F33</f>
        <v>0</v>
      </c>
      <c r="H32" s="24" t="str">
        <f>Raw!G33</f>
        <v>ResSpHtFAFZ1</v>
      </c>
      <c r="I32" s="24">
        <f>Raw!H33</f>
        <v>-3.5688983656613202</v>
      </c>
      <c r="J32" s="24">
        <f>Raw!I33</f>
        <v>0</v>
      </c>
      <c r="K32" s="24">
        <f>Raw!J33</f>
        <v>0</v>
      </c>
      <c r="L32" s="24">
        <f>Raw!K33</f>
        <v>0</v>
      </c>
      <c r="M32" s="24">
        <f>Raw!L33</f>
        <v>0</v>
      </c>
      <c r="N32" s="24">
        <f>Raw!M33</f>
        <v>0</v>
      </c>
      <c r="O32" s="24">
        <f>Raw!N33</f>
        <v>0</v>
      </c>
      <c r="P32" s="24">
        <f>Raw!O33</f>
        <v>-0.83690513245143927</v>
      </c>
      <c r="Q32" s="24" t="str">
        <f>Raw!P33</f>
        <v>ResSpHtFAFZ1</v>
      </c>
    </row>
    <row r="33" spans="1:17" ht="25.5">
      <c r="A33" t="str">
        <f t="shared" si="0"/>
        <v>Tier1_indor2_HZ1_efafCoolkwh</v>
      </c>
      <c r="B33" s="24" t="str">
        <f>Raw!A34</f>
        <v>Tier1_indor2_HZ1_efaf</v>
      </c>
      <c r="C33" s="24" t="str">
        <f>Raw!B34</f>
        <v>Coolkwh</v>
      </c>
      <c r="D33" s="24">
        <f>Raw!C34</f>
        <v>0</v>
      </c>
      <c r="E33" s="24">
        <f>Raw!D34</f>
        <v>13</v>
      </c>
      <c r="F33" s="44">
        <f>Raw!E34*$B$4</f>
        <v>0</v>
      </c>
      <c r="G33" s="24">
        <f>Raw!F34</f>
        <v>0</v>
      </c>
      <c r="H33" s="24" t="str">
        <f>Raw!G34</f>
        <v>ResCACPNW</v>
      </c>
      <c r="I33" s="24">
        <f>Raw!H34</f>
        <v>-3.5688983656613202</v>
      </c>
      <c r="J33" s="24">
        <f>Raw!I34</f>
        <v>0</v>
      </c>
      <c r="K33" s="24">
        <f>Raw!J34</f>
        <v>0</v>
      </c>
      <c r="L33" s="24">
        <f>Raw!K34</f>
        <v>0</v>
      </c>
      <c r="M33" s="24">
        <f>Raw!L34</f>
        <v>0</v>
      </c>
      <c r="N33" s="24">
        <f>Raw!M34</f>
        <v>0</v>
      </c>
      <c r="O33" s="24">
        <f>Raw!N34</f>
        <v>0</v>
      </c>
      <c r="P33" s="24">
        <f>Raw!O34</f>
        <v>0</v>
      </c>
      <c r="Q33" s="24" t="str">
        <f>Raw!P34</f>
        <v/>
      </c>
    </row>
    <row r="34" spans="1:17">
      <c r="A34" t="str">
        <f t="shared" si="0"/>
        <v>Tier1_indor2_HZ1_hp85DHWkwh</v>
      </c>
      <c r="B34" s="24" t="str">
        <f>Raw!A35</f>
        <v>Tier1_indor2_HZ1_hp85</v>
      </c>
      <c r="C34" s="24" t="str">
        <f>Raw!B35</f>
        <v>DHWkwh</v>
      </c>
      <c r="D34" s="24">
        <f>Raw!C35</f>
        <v>1231.4161895834602</v>
      </c>
      <c r="E34" s="24">
        <f>Raw!D35</f>
        <v>13</v>
      </c>
      <c r="F34" s="44">
        <f>Raw!E35*$B$4</f>
        <v>724.5875237038573</v>
      </c>
      <c r="G34" s="24">
        <f>Raw!F35</f>
        <v>0</v>
      </c>
      <c r="H34" s="24" t="str">
        <f>Raw!G35</f>
        <v>ResDHW</v>
      </c>
      <c r="I34" s="24">
        <f>Raw!H35</f>
        <v>-1.7496133081543634</v>
      </c>
      <c r="J34" s="24">
        <f>Raw!I35</f>
        <v>0</v>
      </c>
      <c r="K34" s="24">
        <f>Raw!J35</f>
        <v>0</v>
      </c>
      <c r="L34" s="24">
        <f>Raw!K35</f>
        <v>0</v>
      </c>
      <c r="M34" s="24">
        <f>Raw!L35</f>
        <v>0</v>
      </c>
      <c r="N34" s="24">
        <f>Raw!M35</f>
        <v>0</v>
      </c>
      <c r="O34" s="24">
        <f>Raw!N35</f>
        <v>0</v>
      </c>
      <c r="P34" s="24">
        <f>Raw!O35</f>
        <v>0</v>
      </c>
      <c r="Q34" s="24" t="str">
        <f>Raw!P35</f>
        <v/>
      </c>
    </row>
    <row r="35" spans="1:17" ht="25.5">
      <c r="A35" t="str">
        <f t="shared" si="0"/>
        <v>Tier1_indor2_HZ1_hp85Heatkwh</v>
      </c>
      <c r="B35" s="24" t="str">
        <f>Raw!A36</f>
        <v>Tier1_indor2_HZ1_hp85</v>
      </c>
      <c r="C35" s="24" t="str">
        <f>Raw!B36</f>
        <v>Heatkwh</v>
      </c>
      <c r="D35" s="24">
        <f>Raw!C36</f>
        <v>-172.32353870587679</v>
      </c>
      <c r="E35" s="24">
        <f>Raw!D36</f>
        <v>13</v>
      </c>
      <c r="F35" s="44">
        <f>Raw!E36*$B$4</f>
        <v>0</v>
      </c>
      <c r="G35" s="24">
        <f>Raw!F36</f>
        <v>0</v>
      </c>
      <c r="H35" s="24" t="str">
        <f>Raw!G36</f>
        <v>ResSpHtHPZ1</v>
      </c>
      <c r="I35" s="24">
        <f>Raw!H36</f>
        <v>-1.7496133081543634</v>
      </c>
      <c r="J35" s="24">
        <f>Raw!I36</f>
        <v>0</v>
      </c>
      <c r="K35" s="24">
        <f>Raw!J36</f>
        <v>0</v>
      </c>
      <c r="L35" s="24">
        <f>Raw!K36</f>
        <v>0</v>
      </c>
      <c r="M35" s="24">
        <f>Raw!L36</f>
        <v>0</v>
      </c>
      <c r="N35" s="24">
        <f>Raw!M36</f>
        <v>0</v>
      </c>
      <c r="O35" s="24">
        <f>Raw!N36</f>
        <v>0</v>
      </c>
      <c r="P35" s="24">
        <f>Raw!O36</f>
        <v>-0.41028356859033155</v>
      </c>
      <c r="Q35" s="24" t="str">
        <f>Raw!P36</f>
        <v>ResSpHtHPZ1</v>
      </c>
    </row>
    <row r="36" spans="1:17" ht="25.5">
      <c r="A36" t="str">
        <f t="shared" si="0"/>
        <v>Tier1_indor2_HZ1_hp85Coolkwh</v>
      </c>
      <c r="B36" s="24" t="str">
        <f>Raw!A37</f>
        <v>Tier1_indor2_HZ1_hp85</v>
      </c>
      <c r="C36" s="24" t="str">
        <f>Raw!B37</f>
        <v>Coolkwh</v>
      </c>
      <c r="D36" s="24">
        <f>Raw!C37</f>
        <v>29.552677516223916</v>
      </c>
      <c r="E36" s="24">
        <f>Raw!D37</f>
        <v>13</v>
      </c>
      <c r="F36" s="44">
        <f>Raw!E37*$B$4</f>
        <v>0</v>
      </c>
      <c r="G36" s="24">
        <f>Raw!F37</f>
        <v>0</v>
      </c>
      <c r="H36" s="24" t="str">
        <f>Raw!G37</f>
        <v>ResCACPNW</v>
      </c>
      <c r="I36" s="24">
        <f>Raw!H37</f>
        <v>-1.7496133081543634</v>
      </c>
      <c r="J36" s="24">
        <f>Raw!I37</f>
        <v>0</v>
      </c>
      <c r="K36" s="24">
        <f>Raw!J37</f>
        <v>0</v>
      </c>
      <c r="L36" s="24">
        <f>Raw!K37</f>
        <v>0</v>
      </c>
      <c r="M36" s="24">
        <f>Raw!L37</f>
        <v>0</v>
      </c>
      <c r="N36" s="24">
        <f>Raw!M37</f>
        <v>0</v>
      </c>
      <c r="O36" s="24">
        <f>Raw!N37</f>
        <v>0</v>
      </c>
      <c r="P36" s="24">
        <f>Raw!O37</f>
        <v>0</v>
      </c>
      <c r="Q36" s="24" t="str">
        <f>Raw!P37</f>
        <v/>
      </c>
    </row>
    <row r="37" spans="1:17">
      <c r="A37" t="str">
        <f t="shared" si="0"/>
        <v>Tier1_indor2_HZ1_zonlDHWkwh</v>
      </c>
      <c r="B37" s="24" t="str">
        <f>Raw!A38</f>
        <v>Tier1_indor2_HZ1_zonl</v>
      </c>
      <c r="C37" s="24" t="str">
        <f>Raw!B38</f>
        <v>DHWkwh</v>
      </c>
      <c r="D37" s="24">
        <f>Raw!C38</f>
        <v>1243.8863623993275</v>
      </c>
      <c r="E37" s="24">
        <f>Raw!D38</f>
        <v>13</v>
      </c>
      <c r="F37" s="44">
        <f>Raw!E38*$B$4</f>
        <v>724.5875237038573</v>
      </c>
      <c r="G37" s="24">
        <f>Raw!F38</f>
        <v>0</v>
      </c>
      <c r="H37" s="24" t="str">
        <f>Raw!G38</f>
        <v>ResDHW</v>
      </c>
      <c r="I37" s="24">
        <f>Raw!H38</f>
        <v>-3.1860342580112393</v>
      </c>
      <c r="J37" s="24">
        <f>Raw!I38</f>
        <v>0</v>
      </c>
      <c r="K37" s="24">
        <f>Raw!J38</f>
        <v>0</v>
      </c>
      <c r="L37" s="24">
        <f>Raw!K38</f>
        <v>0</v>
      </c>
      <c r="M37" s="24">
        <f>Raw!L38</f>
        <v>0</v>
      </c>
      <c r="N37" s="24">
        <f>Raw!M38</f>
        <v>0</v>
      </c>
      <c r="O37" s="24">
        <f>Raw!N38</f>
        <v>0</v>
      </c>
      <c r="P37" s="24">
        <f>Raw!O38</f>
        <v>0</v>
      </c>
      <c r="Q37" s="24" t="str">
        <f>Raw!P38</f>
        <v/>
      </c>
    </row>
    <row r="38" spans="1:17" ht="25.5">
      <c r="A38" t="str">
        <f t="shared" si="0"/>
        <v>Tier1_indor2_HZ1_zonlHeatkwh</v>
      </c>
      <c r="B38" s="24" t="str">
        <f>Raw!A39</f>
        <v>Tier1_indor2_HZ1_zonl</v>
      </c>
      <c r="C38" s="24" t="str">
        <f>Raw!B39</f>
        <v>Heatkwh</v>
      </c>
      <c r="D38" s="24">
        <f>Raw!C39</f>
        <v>-313.80002382229816</v>
      </c>
      <c r="E38" s="24">
        <f>Raw!D39</f>
        <v>13</v>
      </c>
      <c r="F38" s="44">
        <f>Raw!E39*$B$4</f>
        <v>0</v>
      </c>
      <c r="G38" s="24">
        <f>Raw!F39</f>
        <v>0</v>
      </c>
      <c r="H38" s="24" t="str">
        <f>Raw!G39</f>
        <v>ResSpHtBBZ1</v>
      </c>
      <c r="I38" s="24">
        <f>Raw!H39</f>
        <v>-3.1860342580112393</v>
      </c>
      <c r="J38" s="24">
        <f>Raw!I39</f>
        <v>0</v>
      </c>
      <c r="K38" s="24">
        <f>Raw!J39</f>
        <v>0</v>
      </c>
      <c r="L38" s="24">
        <f>Raw!K39</f>
        <v>0</v>
      </c>
      <c r="M38" s="24">
        <f>Raw!L39</f>
        <v>0</v>
      </c>
      <c r="N38" s="24">
        <f>Raw!M39</f>
        <v>0</v>
      </c>
      <c r="O38" s="24">
        <f>Raw!N39</f>
        <v>0</v>
      </c>
      <c r="P38" s="24">
        <f>Raw!O39</f>
        <v>-0.74712366380364303</v>
      </c>
      <c r="Q38" s="24" t="str">
        <f>Raw!P39</f>
        <v>ResSpHtBBZ1</v>
      </c>
    </row>
    <row r="39" spans="1:17" ht="25.5">
      <c r="A39" t="str">
        <f t="shared" si="0"/>
        <v>Tier1_indor2_HZ1_zonlCoolkwh</v>
      </c>
      <c r="B39" s="24" t="str">
        <f>Raw!A40</f>
        <v>Tier1_indor2_HZ1_zonl</v>
      </c>
      <c r="C39" s="24" t="str">
        <f>Raw!B40</f>
        <v>Coolkwh</v>
      </c>
      <c r="D39" s="24">
        <f>Raw!C40</f>
        <v>0</v>
      </c>
      <c r="E39" s="24">
        <f>Raw!D40</f>
        <v>13</v>
      </c>
      <c r="F39" s="44">
        <f>Raw!E40*$B$4</f>
        <v>0</v>
      </c>
      <c r="G39" s="24">
        <f>Raw!F40</f>
        <v>0</v>
      </c>
      <c r="H39" s="24" t="str">
        <f>Raw!G40</f>
        <v>ResCACPNW</v>
      </c>
      <c r="I39" s="24">
        <f>Raw!H40</f>
        <v>-3.1860342580112393</v>
      </c>
      <c r="J39" s="24">
        <f>Raw!I40</f>
        <v>0</v>
      </c>
      <c r="K39" s="24">
        <f>Raw!J40</f>
        <v>0</v>
      </c>
      <c r="L39" s="24">
        <f>Raw!K40</f>
        <v>0</v>
      </c>
      <c r="M39" s="24">
        <f>Raw!L40</f>
        <v>0</v>
      </c>
      <c r="N39" s="24">
        <f>Raw!M40</f>
        <v>0</v>
      </c>
      <c r="O39" s="24">
        <f>Raw!N40</f>
        <v>0</v>
      </c>
      <c r="P39" s="24">
        <f>Raw!O40</f>
        <v>0</v>
      </c>
      <c r="Q39" s="24" t="str">
        <f>Raw!P40</f>
        <v/>
      </c>
    </row>
    <row r="40" spans="1:17">
      <c r="A40" t="str">
        <f t="shared" si="0"/>
        <v>Tier1_indor2_HZ2_gfncDHWkwh</v>
      </c>
      <c r="B40" s="24" t="str">
        <f>Raw!A41</f>
        <v>Tier1_indor2_HZ2_gfnc</v>
      </c>
      <c r="C40" s="24" t="str">
        <f>Raw!B41</f>
        <v>DHWkwh</v>
      </c>
      <c r="D40" s="24">
        <f>Raw!C41</f>
        <v>1310.2363695143879</v>
      </c>
      <c r="E40" s="24">
        <f>Raw!D41</f>
        <v>13</v>
      </c>
      <c r="F40" s="44">
        <f>Raw!E41*$B$4</f>
        <v>724.5875237038573</v>
      </c>
      <c r="G40" s="24">
        <f>Raw!F41</f>
        <v>0</v>
      </c>
      <c r="H40" s="24" t="str">
        <f>Raw!G41</f>
        <v>ResDHW</v>
      </c>
      <c r="I40" s="24">
        <f>Raw!H41</f>
        <v>-4.6365753722866305</v>
      </c>
      <c r="J40" s="24">
        <f>Raw!I41</f>
        <v>0</v>
      </c>
      <c r="K40" s="24">
        <f>Raw!J41</f>
        <v>0</v>
      </c>
      <c r="L40" s="24">
        <f>Raw!K41</f>
        <v>0</v>
      </c>
      <c r="M40" s="24">
        <f>Raw!L41</f>
        <v>0</v>
      </c>
      <c r="N40" s="24">
        <f>Raw!M41</f>
        <v>0</v>
      </c>
      <c r="O40" s="24">
        <f>Raw!N41</f>
        <v>0</v>
      </c>
      <c r="P40" s="24">
        <f>Raw!O41</f>
        <v>0</v>
      </c>
      <c r="Q40" s="24" t="str">
        <f>Raw!P41</f>
        <v/>
      </c>
    </row>
    <row r="41" spans="1:17" ht="25.5">
      <c r="A41" t="str">
        <f t="shared" si="0"/>
        <v>Tier1_indor2_HZ2_gfncHeatkwh</v>
      </c>
      <c r="B41" s="24" t="str">
        <f>Raw!A42</f>
        <v>Tier1_indor2_HZ2_gfnc</v>
      </c>
      <c r="C41" s="24" t="str">
        <f>Raw!B42</f>
        <v>Heatkwh</v>
      </c>
      <c r="D41" s="24">
        <f>Raw!C42</f>
        <v>-12.827895357275422</v>
      </c>
      <c r="E41" s="24">
        <f>Raw!D42</f>
        <v>13</v>
      </c>
      <c r="F41" s="44">
        <f>Raw!E42*$B$4</f>
        <v>0</v>
      </c>
      <c r="G41" s="24">
        <f>Raw!F42</f>
        <v>0</v>
      </c>
      <c r="H41" s="24" t="str">
        <f>Raw!G42</f>
        <v>ResSpHtFAFZ2</v>
      </c>
      <c r="I41" s="24">
        <f>Raw!H42</f>
        <v>-4.6365753722866305</v>
      </c>
      <c r="J41" s="24">
        <f>Raw!I42</f>
        <v>0</v>
      </c>
      <c r="K41" s="24">
        <f>Raw!J42</f>
        <v>0</v>
      </c>
      <c r="L41" s="24">
        <f>Raw!K42</f>
        <v>0</v>
      </c>
      <c r="M41" s="24">
        <f>Raw!L42</f>
        <v>0</v>
      </c>
      <c r="N41" s="24">
        <f>Raw!M42</f>
        <v>0</v>
      </c>
      <c r="O41" s="24">
        <f>Raw!N42</f>
        <v>0</v>
      </c>
      <c r="P41" s="24">
        <f>Raw!O42</f>
        <v>-17.66209936662602</v>
      </c>
      <c r="Q41" s="24" t="str">
        <f>Raw!P42</f>
        <v>ResSpHtFAFZ2</v>
      </c>
    </row>
    <row r="42" spans="1:17" ht="25.5">
      <c r="A42" t="str">
        <f t="shared" si="0"/>
        <v>Tier1_indor2_HZ2_gfncCoolkwh</v>
      </c>
      <c r="B42" s="24" t="str">
        <f>Raw!A43</f>
        <v>Tier1_indor2_HZ2_gfnc</v>
      </c>
      <c r="C42" s="24" t="str">
        <f>Raw!B43</f>
        <v>Coolkwh</v>
      </c>
      <c r="D42" s="24">
        <f>Raw!C43</f>
        <v>0</v>
      </c>
      <c r="E42" s="24">
        <f>Raw!D43</f>
        <v>13</v>
      </c>
      <c r="F42" s="44">
        <f>Raw!E43*$B$4</f>
        <v>0</v>
      </c>
      <c r="G42" s="24">
        <f>Raw!F43</f>
        <v>0</v>
      </c>
      <c r="H42" s="24" t="str">
        <f>Raw!G43</f>
        <v>ResCACPNW</v>
      </c>
      <c r="I42" s="24">
        <f>Raw!H43</f>
        <v>-4.6365753722866305</v>
      </c>
      <c r="J42" s="24">
        <f>Raw!I43</f>
        <v>0</v>
      </c>
      <c r="K42" s="24">
        <f>Raw!J43</f>
        <v>0</v>
      </c>
      <c r="L42" s="24">
        <f>Raw!K43</f>
        <v>0</v>
      </c>
      <c r="M42" s="24">
        <f>Raw!L43</f>
        <v>0</v>
      </c>
      <c r="N42" s="24">
        <f>Raw!M43</f>
        <v>0</v>
      </c>
      <c r="O42" s="24">
        <f>Raw!N43</f>
        <v>0</v>
      </c>
      <c r="P42" s="24">
        <f>Raw!O43</f>
        <v>0</v>
      </c>
      <c r="Q42" s="24" t="str">
        <f>Raw!P43</f>
        <v/>
      </c>
    </row>
    <row r="43" spans="1:17">
      <c r="A43" t="str">
        <f t="shared" si="0"/>
        <v>Tier1_indor2_HZ2_gfacDHWkwh</v>
      </c>
      <c r="B43" s="24" t="str">
        <f>Raw!A44</f>
        <v>Tier1_indor2_HZ2_gfac</v>
      </c>
      <c r="C43" s="24" t="str">
        <f>Raw!B44</f>
        <v>DHWkwh</v>
      </c>
      <c r="D43" s="24">
        <f>Raw!C44</f>
        <v>1290.711854118596</v>
      </c>
      <c r="E43" s="24">
        <f>Raw!D44</f>
        <v>13</v>
      </c>
      <c r="F43" s="44">
        <f>Raw!E44*$B$4</f>
        <v>724.5875237038573</v>
      </c>
      <c r="G43" s="24">
        <f>Raw!F44</f>
        <v>0</v>
      </c>
      <c r="H43" s="24" t="str">
        <f>Raw!G44</f>
        <v>ResDHW</v>
      </c>
      <c r="I43" s="24">
        <f>Raw!H44</f>
        <v>-4.6882128078901584</v>
      </c>
      <c r="J43" s="24">
        <f>Raw!I44</f>
        <v>0</v>
      </c>
      <c r="K43" s="24">
        <f>Raw!J44</f>
        <v>0</v>
      </c>
      <c r="L43" s="24">
        <f>Raw!K44</f>
        <v>0</v>
      </c>
      <c r="M43" s="24">
        <f>Raw!L44</f>
        <v>0</v>
      </c>
      <c r="N43" s="24">
        <f>Raw!M44</f>
        <v>0</v>
      </c>
      <c r="O43" s="24">
        <f>Raw!N44</f>
        <v>0</v>
      </c>
      <c r="P43" s="24">
        <f>Raw!O44</f>
        <v>0</v>
      </c>
      <c r="Q43" s="24" t="str">
        <f>Raw!P44</f>
        <v/>
      </c>
    </row>
    <row r="44" spans="1:17" ht="25.5">
      <c r="A44" t="str">
        <f t="shared" si="0"/>
        <v>Tier1_indor2_HZ2_gfacHeatkwh</v>
      </c>
      <c r="B44" s="24" t="str">
        <f>Raw!A45</f>
        <v>Tier1_indor2_HZ2_gfac</v>
      </c>
      <c r="C44" s="24" t="str">
        <f>Raw!B45</f>
        <v>Heatkwh</v>
      </c>
      <c r="D44" s="24">
        <f>Raw!C45</f>
        <v>-13.571148677924437</v>
      </c>
      <c r="E44" s="24">
        <f>Raw!D45</f>
        <v>13</v>
      </c>
      <c r="F44" s="44">
        <f>Raw!E45*$B$4</f>
        <v>0</v>
      </c>
      <c r="G44" s="24">
        <f>Raw!F45</f>
        <v>0</v>
      </c>
      <c r="H44" s="24" t="str">
        <f>Raw!G45</f>
        <v>ResSpHtFAFZ2</v>
      </c>
      <c r="I44" s="24">
        <f>Raw!H45</f>
        <v>-4.6882128078901584</v>
      </c>
      <c r="J44" s="24">
        <f>Raw!I45</f>
        <v>0</v>
      </c>
      <c r="K44" s="24">
        <f>Raw!J45</f>
        <v>0</v>
      </c>
      <c r="L44" s="24">
        <f>Raw!K45</f>
        <v>0</v>
      </c>
      <c r="M44" s="24">
        <f>Raw!L45</f>
        <v>0</v>
      </c>
      <c r="N44" s="24">
        <f>Raw!M45</f>
        <v>0</v>
      </c>
      <c r="O44" s="24">
        <f>Raw!N45</f>
        <v>0</v>
      </c>
      <c r="P44" s="24">
        <f>Raw!O45</f>
        <v>-17.835808755255901</v>
      </c>
      <c r="Q44" s="24" t="str">
        <f>Raw!P45</f>
        <v>ResSpHtFAFZ2</v>
      </c>
    </row>
    <row r="45" spans="1:17" ht="25.5">
      <c r="A45" t="str">
        <f t="shared" si="0"/>
        <v>Tier1_indor2_HZ2_gfacCoolkwh</v>
      </c>
      <c r="B45" s="24" t="str">
        <f>Raw!A46</f>
        <v>Tier1_indor2_HZ2_gfac</v>
      </c>
      <c r="C45" s="24" t="str">
        <f>Raw!B46</f>
        <v>Coolkwh</v>
      </c>
      <c r="D45" s="24">
        <f>Raw!C46</f>
        <v>33.129570748535471</v>
      </c>
      <c r="E45" s="24">
        <f>Raw!D46</f>
        <v>13</v>
      </c>
      <c r="F45" s="44">
        <f>Raw!E46*$B$4</f>
        <v>0</v>
      </c>
      <c r="G45" s="24">
        <f>Raw!F46</f>
        <v>0</v>
      </c>
      <c r="H45" s="24" t="str">
        <f>Raw!G46</f>
        <v>ResCACPNW</v>
      </c>
      <c r="I45" s="24">
        <f>Raw!H46</f>
        <v>-4.6882128078901584</v>
      </c>
      <c r="J45" s="24">
        <f>Raw!I46</f>
        <v>0</v>
      </c>
      <c r="K45" s="24">
        <f>Raw!J46</f>
        <v>0</v>
      </c>
      <c r="L45" s="24">
        <f>Raw!K46</f>
        <v>0</v>
      </c>
      <c r="M45" s="24">
        <f>Raw!L46</f>
        <v>0</v>
      </c>
      <c r="N45" s="24">
        <f>Raw!M46</f>
        <v>0</v>
      </c>
      <c r="O45" s="24">
        <f>Raw!N46</f>
        <v>0</v>
      </c>
      <c r="P45" s="24">
        <f>Raw!O46</f>
        <v>0</v>
      </c>
      <c r="Q45" s="24" t="str">
        <f>Raw!P46</f>
        <v/>
      </c>
    </row>
    <row r="46" spans="1:17">
      <c r="A46" t="str">
        <f t="shared" si="0"/>
        <v>Tier1_indor2_HZ2_efafDHWkwh</v>
      </c>
      <c r="B46" s="24" t="str">
        <f>Raw!A47</f>
        <v>Tier1_indor2_HZ2_efaf</v>
      </c>
      <c r="C46" s="24" t="str">
        <f>Raw!B47</f>
        <v>DHWkwh</v>
      </c>
      <c r="D46" s="24">
        <f>Raw!C47</f>
        <v>1310.2363695143879</v>
      </c>
      <c r="E46" s="24">
        <f>Raw!D47</f>
        <v>13</v>
      </c>
      <c r="F46" s="44">
        <f>Raw!E47*$B$4</f>
        <v>724.5875237038573</v>
      </c>
      <c r="G46" s="24">
        <f>Raw!F47</f>
        <v>0</v>
      </c>
      <c r="H46" s="24" t="str">
        <f>Raw!G47</f>
        <v>ResDHW</v>
      </c>
      <c r="I46" s="24">
        <f>Raw!H47</f>
        <v>-3.2720615140776217</v>
      </c>
      <c r="J46" s="24">
        <f>Raw!I47</f>
        <v>0</v>
      </c>
      <c r="K46" s="24">
        <f>Raw!J47</f>
        <v>0</v>
      </c>
      <c r="L46" s="24">
        <f>Raw!K47</f>
        <v>0</v>
      </c>
      <c r="M46" s="24">
        <f>Raw!L47</f>
        <v>0</v>
      </c>
      <c r="N46" s="24">
        <f>Raw!M47</f>
        <v>0</v>
      </c>
      <c r="O46" s="24">
        <f>Raw!N47</f>
        <v>0</v>
      </c>
      <c r="P46" s="24">
        <f>Raw!O47</f>
        <v>0</v>
      </c>
      <c r="Q46" s="24" t="str">
        <f>Raw!P47</f>
        <v/>
      </c>
    </row>
    <row r="47" spans="1:17" ht="25.5">
      <c r="A47" t="str">
        <f t="shared" si="0"/>
        <v>Tier1_indor2_HZ2_efafHeatkwh</v>
      </c>
      <c r="B47" s="24" t="str">
        <f>Raw!A48</f>
        <v>Tier1_indor2_HZ2_efaf</v>
      </c>
      <c r="C47" s="24" t="str">
        <f>Raw!B48</f>
        <v>Heatkwh</v>
      </c>
      <c r="D47" s="24">
        <f>Raw!C48</f>
        <v>-328.0895056105461</v>
      </c>
      <c r="E47" s="24">
        <f>Raw!D48</f>
        <v>13</v>
      </c>
      <c r="F47" s="44">
        <f>Raw!E48*$B$4</f>
        <v>0</v>
      </c>
      <c r="G47" s="24">
        <f>Raw!F48</f>
        <v>0</v>
      </c>
      <c r="H47" s="24" t="str">
        <f>Raw!G48</f>
        <v>ResSpHtFAFZ2</v>
      </c>
      <c r="I47" s="24">
        <f>Raw!H48</f>
        <v>-3.2720615140776217</v>
      </c>
      <c r="J47" s="24">
        <f>Raw!I48</f>
        <v>0</v>
      </c>
      <c r="K47" s="24">
        <f>Raw!J48</f>
        <v>0</v>
      </c>
      <c r="L47" s="24">
        <f>Raw!K48</f>
        <v>0</v>
      </c>
      <c r="M47" s="24">
        <f>Raw!L48</f>
        <v>0</v>
      </c>
      <c r="N47" s="24">
        <f>Raw!M48</f>
        <v>0</v>
      </c>
      <c r="O47" s="24">
        <f>Raw!N48</f>
        <v>0</v>
      </c>
      <c r="P47" s="24">
        <f>Raw!O48</f>
        <v>-0.24615837127711976</v>
      </c>
      <c r="Q47" s="24" t="str">
        <f>Raw!P48</f>
        <v>ResSpHtFAFZ2</v>
      </c>
    </row>
    <row r="48" spans="1:17" ht="25.5">
      <c r="A48" t="str">
        <f t="shared" si="0"/>
        <v>Tier1_indor2_HZ2_efafCoolkwh</v>
      </c>
      <c r="B48" s="24" t="str">
        <f>Raw!A49</f>
        <v>Tier1_indor2_HZ2_efaf</v>
      </c>
      <c r="C48" s="24" t="str">
        <f>Raw!B49</f>
        <v>Coolkwh</v>
      </c>
      <c r="D48" s="24">
        <f>Raw!C49</f>
        <v>0</v>
      </c>
      <c r="E48" s="24">
        <f>Raw!D49</f>
        <v>13</v>
      </c>
      <c r="F48" s="44">
        <f>Raw!E49*$B$4</f>
        <v>0</v>
      </c>
      <c r="G48" s="24">
        <f>Raw!F49</f>
        <v>0</v>
      </c>
      <c r="H48" s="24" t="str">
        <f>Raw!G49</f>
        <v>ResCACPNW</v>
      </c>
      <c r="I48" s="24">
        <f>Raw!H49</f>
        <v>-3.2720615140776217</v>
      </c>
      <c r="J48" s="24">
        <f>Raw!I49</f>
        <v>0</v>
      </c>
      <c r="K48" s="24">
        <f>Raw!J49</f>
        <v>0</v>
      </c>
      <c r="L48" s="24">
        <f>Raw!K49</f>
        <v>0</v>
      </c>
      <c r="M48" s="24">
        <f>Raw!L49</f>
        <v>0</v>
      </c>
      <c r="N48" s="24">
        <f>Raw!M49</f>
        <v>0</v>
      </c>
      <c r="O48" s="24">
        <f>Raw!N49</f>
        <v>0</v>
      </c>
      <c r="P48" s="24">
        <f>Raw!O49</f>
        <v>0</v>
      </c>
      <c r="Q48" s="24" t="str">
        <f>Raw!P49</f>
        <v/>
      </c>
    </row>
    <row r="49" spans="1:17">
      <c r="A49" t="str">
        <f t="shared" si="0"/>
        <v>Tier1_indor2_HZ2_hp85DHWkwh</v>
      </c>
      <c r="B49" s="24" t="str">
        <f>Raw!A50</f>
        <v>Tier1_indor2_HZ2_hp85</v>
      </c>
      <c r="C49" s="24" t="str">
        <f>Raw!B50</f>
        <v>DHWkwh</v>
      </c>
      <c r="D49" s="24">
        <f>Raw!C50</f>
        <v>1290.7265967492426</v>
      </c>
      <c r="E49" s="24">
        <f>Raw!D50</f>
        <v>13</v>
      </c>
      <c r="F49" s="44">
        <f>Raw!E50*$B$4</f>
        <v>724.5875237038573</v>
      </c>
      <c r="G49" s="24">
        <f>Raw!F50</f>
        <v>0</v>
      </c>
      <c r="H49" s="24" t="str">
        <f>Raw!G50</f>
        <v>ResDHW</v>
      </c>
      <c r="I49" s="24">
        <f>Raw!H50</f>
        <v>-2.0996322588157486</v>
      </c>
      <c r="J49" s="24">
        <f>Raw!I50</f>
        <v>0</v>
      </c>
      <c r="K49" s="24">
        <f>Raw!J50</f>
        <v>0</v>
      </c>
      <c r="L49" s="24">
        <f>Raw!K50</f>
        <v>0</v>
      </c>
      <c r="M49" s="24">
        <f>Raw!L50</f>
        <v>0</v>
      </c>
      <c r="N49" s="24">
        <f>Raw!M50</f>
        <v>0</v>
      </c>
      <c r="O49" s="24">
        <f>Raw!N50</f>
        <v>0</v>
      </c>
      <c r="P49" s="24">
        <f>Raw!O50</f>
        <v>0</v>
      </c>
      <c r="Q49" s="24" t="str">
        <f>Raw!P50</f>
        <v/>
      </c>
    </row>
    <row r="50" spans="1:17" ht="25.5">
      <c r="A50" t="str">
        <f t="shared" si="0"/>
        <v>Tier1_indor2_HZ2_hp85Heatkwh</v>
      </c>
      <c r="B50" s="24" t="str">
        <f>Raw!A51</f>
        <v>Tier1_indor2_HZ2_hp85</v>
      </c>
      <c r="C50" s="24" t="str">
        <f>Raw!B51</f>
        <v>Heatkwh</v>
      </c>
      <c r="D50" s="24">
        <f>Raw!C51</f>
        <v>-210.53006087906681</v>
      </c>
      <c r="E50" s="24">
        <f>Raw!D51</f>
        <v>13</v>
      </c>
      <c r="F50" s="44">
        <f>Raw!E51*$B$4</f>
        <v>0</v>
      </c>
      <c r="G50" s="24">
        <f>Raw!F51</f>
        <v>0</v>
      </c>
      <c r="H50" s="24" t="str">
        <f>Raw!G51</f>
        <v>ResSpHtHPZ2</v>
      </c>
      <c r="I50" s="24">
        <f>Raw!H51</f>
        <v>-2.0996322588157486</v>
      </c>
      <c r="J50" s="24">
        <f>Raw!I51</f>
        <v>0</v>
      </c>
      <c r="K50" s="24">
        <f>Raw!J51</f>
        <v>0</v>
      </c>
      <c r="L50" s="24">
        <f>Raw!K51</f>
        <v>0</v>
      </c>
      <c r="M50" s="24">
        <f>Raw!L51</f>
        <v>0</v>
      </c>
      <c r="N50" s="24">
        <f>Raw!M51</f>
        <v>0</v>
      </c>
      <c r="O50" s="24">
        <f>Raw!N51</f>
        <v>0</v>
      </c>
      <c r="P50" s="24">
        <f>Raw!O51</f>
        <v>-0.15795609431159488</v>
      </c>
      <c r="Q50" s="24" t="str">
        <f>Raw!P51</f>
        <v>ResSpHtHPZ2</v>
      </c>
    </row>
    <row r="51" spans="1:17" ht="25.5">
      <c r="A51" t="str">
        <f t="shared" si="0"/>
        <v>Tier1_indor2_HZ2_hp85Coolkwh</v>
      </c>
      <c r="B51" s="24" t="str">
        <f>Raw!A52</f>
        <v>Tier1_indor2_HZ2_hp85</v>
      </c>
      <c r="C51" s="24" t="str">
        <f>Raw!B52</f>
        <v>Coolkwh</v>
      </c>
      <c r="D51" s="24">
        <f>Raw!C52</f>
        <v>33.319817172968932</v>
      </c>
      <c r="E51" s="24">
        <f>Raw!D52</f>
        <v>13</v>
      </c>
      <c r="F51" s="44">
        <f>Raw!E52*$B$4</f>
        <v>0</v>
      </c>
      <c r="G51" s="24">
        <f>Raw!F52</f>
        <v>0</v>
      </c>
      <c r="H51" s="24" t="str">
        <f>Raw!G52</f>
        <v>ResCACPNW</v>
      </c>
      <c r="I51" s="24">
        <f>Raw!H52</f>
        <v>-2.0996322588157486</v>
      </c>
      <c r="J51" s="24">
        <f>Raw!I52</f>
        <v>0</v>
      </c>
      <c r="K51" s="24">
        <f>Raw!J52</f>
        <v>0</v>
      </c>
      <c r="L51" s="24">
        <f>Raw!K52</f>
        <v>0</v>
      </c>
      <c r="M51" s="24">
        <f>Raw!L52</f>
        <v>0</v>
      </c>
      <c r="N51" s="24">
        <f>Raw!M52</f>
        <v>0</v>
      </c>
      <c r="O51" s="24">
        <f>Raw!N52</f>
        <v>0</v>
      </c>
      <c r="P51" s="24">
        <f>Raw!O52</f>
        <v>0</v>
      </c>
      <c r="Q51" s="24" t="str">
        <f>Raw!P52</f>
        <v/>
      </c>
    </row>
    <row r="52" spans="1:17">
      <c r="A52" t="str">
        <f t="shared" si="0"/>
        <v>Tier1_indor2_HZ2_zonlDHWkwh</v>
      </c>
      <c r="B52" s="24" t="str">
        <f>Raw!A53</f>
        <v>Tier1_indor2_HZ2_zonl</v>
      </c>
      <c r="C52" s="24" t="str">
        <f>Raw!B53</f>
        <v>DHWkwh</v>
      </c>
      <c r="D52" s="24">
        <f>Raw!C53</f>
        <v>1309.9202011242153</v>
      </c>
      <c r="E52" s="24">
        <f>Raw!D53</f>
        <v>13</v>
      </c>
      <c r="F52" s="44">
        <f>Raw!E53*$B$4</f>
        <v>724.5875237038573</v>
      </c>
      <c r="G52" s="24">
        <f>Raw!F53</f>
        <v>0</v>
      </c>
      <c r="H52" s="24" t="str">
        <f>Raw!G53</f>
        <v>ResDHW</v>
      </c>
      <c r="I52" s="24">
        <f>Raw!H53</f>
        <v>-2.9077739556591125</v>
      </c>
      <c r="J52" s="24">
        <f>Raw!I53</f>
        <v>0</v>
      </c>
      <c r="K52" s="24">
        <f>Raw!J53</f>
        <v>0</v>
      </c>
      <c r="L52" s="24">
        <f>Raw!K53</f>
        <v>0</v>
      </c>
      <c r="M52" s="24">
        <f>Raw!L53</f>
        <v>0</v>
      </c>
      <c r="N52" s="24">
        <f>Raw!M53</f>
        <v>0</v>
      </c>
      <c r="O52" s="24">
        <f>Raw!N53</f>
        <v>0</v>
      </c>
      <c r="P52" s="24">
        <f>Raw!O53</f>
        <v>0</v>
      </c>
      <c r="Q52" s="24" t="str">
        <f>Raw!P53</f>
        <v/>
      </c>
    </row>
    <row r="53" spans="1:17" ht="25.5">
      <c r="A53" t="str">
        <f t="shared" si="0"/>
        <v>Tier1_indor2_HZ2_zonlHeatkwh</v>
      </c>
      <c r="B53" s="24" t="str">
        <f>Raw!A54</f>
        <v>Tier1_indor2_HZ2_zonl</v>
      </c>
      <c r="C53" s="24" t="str">
        <f>Raw!B54</f>
        <v>Heatkwh</v>
      </c>
      <c r="D53" s="24">
        <f>Raw!C54</f>
        <v>-291.56240352906423</v>
      </c>
      <c r="E53" s="24">
        <f>Raw!D54</f>
        <v>13</v>
      </c>
      <c r="F53" s="44">
        <f>Raw!E54*$B$4</f>
        <v>0</v>
      </c>
      <c r="G53" s="24">
        <f>Raw!F54</f>
        <v>0</v>
      </c>
      <c r="H53" s="24" t="str">
        <f>Raw!G54</f>
        <v>ResSpHtBBZ2</v>
      </c>
      <c r="I53" s="24">
        <f>Raw!H54</f>
        <v>-2.9077739556591125</v>
      </c>
      <c r="J53" s="24">
        <f>Raw!I54</f>
        <v>0</v>
      </c>
      <c r="K53" s="24">
        <f>Raw!J54</f>
        <v>0</v>
      </c>
      <c r="L53" s="24">
        <f>Raw!K54</f>
        <v>0</v>
      </c>
      <c r="M53" s="24">
        <f>Raw!L54</f>
        <v>0</v>
      </c>
      <c r="N53" s="24">
        <f>Raw!M54</f>
        <v>0</v>
      </c>
      <c r="O53" s="24">
        <f>Raw!N54</f>
        <v>0</v>
      </c>
      <c r="P53" s="24">
        <f>Raw!O54</f>
        <v>-0.21875288648686911</v>
      </c>
      <c r="Q53" s="24" t="str">
        <f>Raw!P54</f>
        <v>ResSpHtBBZ2</v>
      </c>
    </row>
    <row r="54" spans="1:17" ht="25.5">
      <c r="A54" t="str">
        <f t="shared" si="0"/>
        <v>Tier1_indor2_HZ2_zonlCoolkwh</v>
      </c>
      <c r="B54" s="24" t="str">
        <f>Raw!A55</f>
        <v>Tier1_indor2_HZ2_zonl</v>
      </c>
      <c r="C54" s="24" t="str">
        <f>Raw!B55</f>
        <v>Coolkwh</v>
      </c>
      <c r="D54" s="24">
        <f>Raw!C55</f>
        <v>0</v>
      </c>
      <c r="E54" s="24">
        <f>Raw!D55</f>
        <v>13</v>
      </c>
      <c r="F54" s="44">
        <f>Raw!E55*$B$4</f>
        <v>0</v>
      </c>
      <c r="G54" s="24">
        <f>Raw!F55</f>
        <v>0</v>
      </c>
      <c r="H54" s="24" t="str">
        <f>Raw!G55</f>
        <v>ResCACPNW</v>
      </c>
      <c r="I54" s="24">
        <f>Raw!H55</f>
        <v>-2.9077739556591125</v>
      </c>
      <c r="J54" s="24">
        <f>Raw!I55</f>
        <v>0</v>
      </c>
      <c r="K54" s="24">
        <f>Raw!J55</f>
        <v>0</v>
      </c>
      <c r="L54" s="24">
        <f>Raw!K55</f>
        <v>0</v>
      </c>
      <c r="M54" s="24">
        <f>Raw!L55</f>
        <v>0</v>
      </c>
      <c r="N54" s="24">
        <f>Raw!M55</f>
        <v>0</v>
      </c>
      <c r="O54" s="24">
        <f>Raw!N55</f>
        <v>0</v>
      </c>
      <c r="P54" s="24">
        <f>Raw!O55</f>
        <v>0</v>
      </c>
      <c r="Q54" s="24" t="str">
        <f>Raw!P55</f>
        <v/>
      </c>
    </row>
    <row r="55" spans="1:17">
      <c r="A55" t="str">
        <f t="shared" si="0"/>
        <v>Tier1_indor2_HZ3_gfncDHWkwh</v>
      </c>
      <c r="B55" s="24" t="str">
        <f>Raw!A56</f>
        <v>Tier1_indor2_HZ3_gfnc</v>
      </c>
      <c r="C55" s="24" t="str">
        <f>Raw!B56</f>
        <v>DHWkwh</v>
      </c>
      <c r="D55" s="24">
        <f>Raw!C56</f>
        <v>1340.44858307818</v>
      </c>
      <c r="E55" s="24">
        <f>Raw!D56</f>
        <v>13</v>
      </c>
      <c r="F55" s="44">
        <f>Raw!E56*$B$4</f>
        <v>724.5875237038573</v>
      </c>
      <c r="G55" s="24">
        <f>Raw!F56</f>
        <v>0</v>
      </c>
      <c r="H55" s="24" t="str">
        <f>Raw!G56</f>
        <v>ResDHW</v>
      </c>
      <c r="I55" s="24">
        <f>Raw!H56</f>
        <v>-4.258992974136226</v>
      </c>
      <c r="J55" s="24">
        <f>Raw!I56</f>
        <v>0</v>
      </c>
      <c r="K55" s="24">
        <f>Raw!J56</f>
        <v>0</v>
      </c>
      <c r="L55" s="24">
        <f>Raw!K56</f>
        <v>0</v>
      </c>
      <c r="M55" s="24">
        <f>Raw!L56</f>
        <v>0</v>
      </c>
      <c r="N55" s="24">
        <f>Raw!M56</f>
        <v>0</v>
      </c>
      <c r="O55" s="24">
        <f>Raw!N56</f>
        <v>0</v>
      </c>
      <c r="P55" s="24">
        <f>Raw!O56</f>
        <v>0</v>
      </c>
      <c r="Q55" s="24" t="str">
        <f>Raw!P56</f>
        <v/>
      </c>
    </row>
    <row r="56" spans="1:17" ht="25.5">
      <c r="A56" t="str">
        <f t="shared" si="0"/>
        <v>Tier1_indor2_HZ3_gfncHeatkwh</v>
      </c>
      <c r="B56" s="24" t="str">
        <f>Raw!A57</f>
        <v>Tier1_indor2_HZ3_gfnc</v>
      </c>
      <c r="C56" s="24" t="str">
        <f>Raw!B57</f>
        <v>Heatkwh</v>
      </c>
      <c r="D56" s="24">
        <f>Raw!C57</f>
        <v>-11.970880184044759</v>
      </c>
      <c r="E56" s="24">
        <f>Raw!D57</f>
        <v>13</v>
      </c>
      <c r="F56" s="44">
        <f>Raw!E57*$B$4</f>
        <v>0</v>
      </c>
      <c r="G56" s="24">
        <f>Raw!F57</f>
        <v>0</v>
      </c>
      <c r="H56" s="24" t="str">
        <f>Raw!G57</f>
        <v>ResSpHtFAFZ3</v>
      </c>
      <c r="I56" s="24">
        <f>Raw!H57</f>
        <v>-4.258992974136226</v>
      </c>
      <c r="J56" s="24">
        <f>Raw!I57</f>
        <v>0</v>
      </c>
      <c r="K56" s="24">
        <f>Raw!J57</f>
        <v>0</v>
      </c>
      <c r="L56" s="24">
        <f>Raw!K57</f>
        <v>0</v>
      </c>
      <c r="M56" s="24">
        <f>Raw!L57</f>
        <v>0</v>
      </c>
      <c r="N56" s="24">
        <f>Raw!M57</f>
        <v>0</v>
      </c>
      <c r="O56" s="24">
        <f>Raw!N57</f>
        <v>0</v>
      </c>
      <c r="P56" s="24">
        <f>Raw!O57</f>
        <v>-16.21658959322032</v>
      </c>
      <c r="Q56" s="24" t="str">
        <f>Raw!P57</f>
        <v>ResSpHtFAFZ3</v>
      </c>
    </row>
    <row r="57" spans="1:17" ht="25.5">
      <c r="A57" t="str">
        <f t="shared" si="0"/>
        <v>Tier1_indor2_HZ3_gfncCoolkwh</v>
      </c>
      <c r="B57" s="24" t="str">
        <f>Raw!A58</f>
        <v>Tier1_indor2_HZ3_gfnc</v>
      </c>
      <c r="C57" s="24" t="str">
        <f>Raw!B58</f>
        <v>Coolkwh</v>
      </c>
      <c r="D57" s="24">
        <f>Raw!C58</f>
        <v>0</v>
      </c>
      <c r="E57" s="24">
        <f>Raw!D58</f>
        <v>13</v>
      </c>
      <c r="F57" s="44">
        <f>Raw!E58*$B$4</f>
        <v>0</v>
      </c>
      <c r="G57" s="24">
        <f>Raw!F58</f>
        <v>0</v>
      </c>
      <c r="H57" s="24" t="str">
        <f>Raw!G58</f>
        <v>ResCACPNW</v>
      </c>
      <c r="I57" s="24">
        <f>Raw!H58</f>
        <v>-4.258992974136226</v>
      </c>
      <c r="J57" s="24">
        <f>Raw!I58</f>
        <v>0</v>
      </c>
      <c r="K57" s="24">
        <f>Raw!J58</f>
        <v>0</v>
      </c>
      <c r="L57" s="24">
        <f>Raw!K58</f>
        <v>0</v>
      </c>
      <c r="M57" s="24">
        <f>Raw!L58</f>
        <v>0</v>
      </c>
      <c r="N57" s="24">
        <f>Raw!M58</f>
        <v>0</v>
      </c>
      <c r="O57" s="24">
        <f>Raw!N58</f>
        <v>0</v>
      </c>
      <c r="P57" s="24">
        <f>Raw!O58</f>
        <v>0</v>
      </c>
      <c r="Q57" s="24" t="str">
        <f>Raw!P58</f>
        <v/>
      </c>
    </row>
    <row r="58" spans="1:17">
      <c r="A58" t="str">
        <f t="shared" si="0"/>
        <v>Tier1_indor2_HZ3_gfacDHWkwh</v>
      </c>
      <c r="B58" s="24" t="str">
        <f>Raw!A59</f>
        <v>Tier1_indor2_HZ3_gfac</v>
      </c>
      <c r="C58" s="24" t="str">
        <f>Raw!B59</f>
        <v>DHWkwh</v>
      </c>
      <c r="D58" s="24">
        <f>Raw!C59</f>
        <v>1326.6188989663367</v>
      </c>
      <c r="E58" s="24">
        <f>Raw!D59</f>
        <v>13</v>
      </c>
      <c r="F58" s="44">
        <f>Raw!E59*$B$4</f>
        <v>724.5875237038573</v>
      </c>
      <c r="G58" s="24">
        <f>Raw!F59</f>
        <v>0</v>
      </c>
      <c r="H58" s="24" t="str">
        <f>Raw!G59</f>
        <v>ResDHW</v>
      </c>
      <c r="I58" s="24">
        <f>Raw!H59</f>
        <v>-4.3286342520108745</v>
      </c>
      <c r="J58" s="24">
        <f>Raw!I59</f>
        <v>0</v>
      </c>
      <c r="K58" s="24">
        <f>Raw!J59</f>
        <v>0</v>
      </c>
      <c r="L58" s="24">
        <f>Raw!K59</f>
        <v>0</v>
      </c>
      <c r="M58" s="24">
        <f>Raw!L59</f>
        <v>0</v>
      </c>
      <c r="N58" s="24">
        <f>Raw!M59</f>
        <v>0</v>
      </c>
      <c r="O58" s="24">
        <f>Raw!N59</f>
        <v>0</v>
      </c>
      <c r="P58" s="24">
        <f>Raw!O59</f>
        <v>0</v>
      </c>
      <c r="Q58" s="24" t="str">
        <f>Raw!P59</f>
        <v/>
      </c>
    </row>
    <row r="59" spans="1:17" ht="25.5">
      <c r="A59" t="str">
        <f t="shared" si="0"/>
        <v>Tier1_indor2_HZ3_gfacHeatkwh</v>
      </c>
      <c r="B59" s="24" t="str">
        <f>Raw!A60</f>
        <v>Tier1_indor2_HZ3_gfac</v>
      </c>
      <c r="C59" s="24" t="str">
        <f>Raw!B60</f>
        <v>Heatkwh</v>
      </c>
      <c r="D59" s="24">
        <f>Raw!C60</f>
        <v>-12.493420972743845</v>
      </c>
      <c r="E59" s="24">
        <f>Raw!D60</f>
        <v>13</v>
      </c>
      <c r="F59" s="44">
        <f>Raw!E60*$B$4</f>
        <v>0</v>
      </c>
      <c r="G59" s="24">
        <f>Raw!F60</f>
        <v>0</v>
      </c>
      <c r="H59" s="24" t="str">
        <f>Raw!G60</f>
        <v>ResSpHtFAFZ3</v>
      </c>
      <c r="I59" s="24">
        <f>Raw!H60</f>
        <v>-4.3286342520108745</v>
      </c>
      <c r="J59" s="24">
        <f>Raw!I60</f>
        <v>0</v>
      </c>
      <c r="K59" s="24">
        <f>Raw!J60</f>
        <v>0</v>
      </c>
      <c r="L59" s="24">
        <f>Raw!K60</f>
        <v>0</v>
      </c>
      <c r="M59" s="24">
        <f>Raw!L60</f>
        <v>0</v>
      </c>
      <c r="N59" s="24">
        <f>Raw!M60</f>
        <v>0</v>
      </c>
      <c r="O59" s="24">
        <f>Raw!N60</f>
        <v>0</v>
      </c>
      <c r="P59" s="24">
        <f>Raw!O60</f>
        <v>-16.469241178086019</v>
      </c>
      <c r="Q59" s="24" t="str">
        <f>Raw!P60</f>
        <v>ResSpHtFAFZ3</v>
      </c>
    </row>
    <row r="60" spans="1:17" ht="25.5">
      <c r="A60" t="str">
        <f t="shared" si="0"/>
        <v>Tier1_indor2_HZ3_gfacCoolkwh</v>
      </c>
      <c r="B60" s="24" t="str">
        <f>Raw!A61</f>
        <v>Tier1_indor2_HZ3_gfac</v>
      </c>
      <c r="C60" s="24" t="str">
        <f>Raw!B61</f>
        <v>Coolkwh</v>
      </c>
      <c r="D60" s="24">
        <f>Raw!C61</f>
        <v>35.292250597433956</v>
      </c>
      <c r="E60" s="24">
        <f>Raw!D61</f>
        <v>13</v>
      </c>
      <c r="F60" s="44">
        <f>Raw!E61*$B$4</f>
        <v>0</v>
      </c>
      <c r="G60" s="24">
        <f>Raw!F61</f>
        <v>0</v>
      </c>
      <c r="H60" s="24" t="str">
        <f>Raw!G61</f>
        <v>ResCACPNW</v>
      </c>
      <c r="I60" s="24">
        <f>Raw!H61</f>
        <v>-4.3286342520108745</v>
      </c>
      <c r="J60" s="24">
        <f>Raw!I61</f>
        <v>0</v>
      </c>
      <c r="K60" s="24">
        <f>Raw!J61</f>
        <v>0</v>
      </c>
      <c r="L60" s="24">
        <f>Raw!K61</f>
        <v>0</v>
      </c>
      <c r="M60" s="24">
        <f>Raw!L61</f>
        <v>0</v>
      </c>
      <c r="N60" s="24">
        <f>Raw!M61</f>
        <v>0</v>
      </c>
      <c r="O60" s="24">
        <f>Raw!N61</f>
        <v>0</v>
      </c>
      <c r="P60" s="24">
        <f>Raw!O61</f>
        <v>0</v>
      </c>
      <c r="Q60" s="24" t="str">
        <f>Raw!P61</f>
        <v/>
      </c>
    </row>
    <row r="61" spans="1:17">
      <c r="A61" t="str">
        <f t="shared" si="0"/>
        <v>Tier1_indor2_HZ3_efafDHWkwh</v>
      </c>
      <c r="B61" s="24" t="str">
        <f>Raw!A62</f>
        <v>Tier1_indor2_HZ3_efaf</v>
      </c>
      <c r="C61" s="24" t="str">
        <f>Raw!B62</f>
        <v>DHWkwh</v>
      </c>
      <c r="D61" s="24">
        <f>Raw!C62</f>
        <v>1340.44858307818</v>
      </c>
      <c r="E61" s="24">
        <f>Raw!D62</f>
        <v>13</v>
      </c>
      <c r="F61" s="44">
        <f>Raw!E62*$B$4</f>
        <v>724.5875237038573</v>
      </c>
      <c r="G61" s="24">
        <f>Raw!F62</f>
        <v>0</v>
      </c>
      <c r="H61" s="24" t="str">
        <f>Raw!G62</f>
        <v>ResDHW</v>
      </c>
      <c r="I61" s="24">
        <f>Raw!H62</f>
        <v>-3.0001420000773384</v>
      </c>
      <c r="J61" s="24">
        <f>Raw!I62</f>
        <v>0</v>
      </c>
      <c r="K61" s="24">
        <f>Raw!J62</f>
        <v>0</v>
      </c>
      <c r="L61" s="24">
        <f>Raw!K62</f>
        <v>0</v>
      </c>
      <c r="M61" s="24">
        <f>Raw!L62</f>
        <v>0</v>
      </c>
      <c r="N61" s="24">
        <f>Raw!M62</f>
        <v>0</v>
      </c>
      <c r="O61" s="24">
        <f>Raw!N62</f>
        <v>0</v>
      </c>
      <c r="P61" s="24">
        <f>Raw!O62</f>
        <v>0</v>
      </c>
      <c r="Q61" s="24" t="str">
        <f>Raw!P62</f>
        <v/>
      </c>
    </row>
    <row r="62" spans="1:17" ht="25.5">
      <c r="A62" t="str">
        <f t="shared" si="0"/>
        <v>Tier1_indor2_HZ3_efafHeatkwh</v>
      </c>
      <c r="B62" s="24" t="str">
        <f>Raw!A63</f>
        <v>Tier1_indor2_HZ3_efaf</v>
      </c>
      <c r="C62" s="24" t="str">
        <f>Raw!B63</f>
        <v>Heatkwh</v>
      </c>
      <c r="D62" s="24">
        <f>Raw!C63</f>
        <v>-300.82414445202835</v>
      </c>
      <c r="E62" s="24">
        <f>Raw!D63</f>
        <v>13</v>
      </c>
      <c r="F62" s="44">
        <f>Raw!E63*$B$4</f>
        <v>0</v>
      </c>
      <c r="G62" s="24">
        <f>Raw!F63</f>
        <v>0</v>
      </c>
      <c r="H62" s="24" t="str">
        <f>Raw!G63</f>
        <v>ResSpHtFAFZ3</v>
      </c>
      <c r="I62" s="24">
        <f>Raw!H63</f>
        <v>-3.0001420000773384</v>
      </c>
      <c r="J62" s="24">
        <f>Raw!I63</f>
        <v>0</v>
      </c>
      <c r="K62" s="24">
        <f>Raw!J63</f>
        <v>0</v>
      </c>
      <c r="L62" s="24">
        <f>Raw!K63</f>
        <v>0</v>
      </c>
      <c r="M62" s="24">
        <f>Raw!L63</f>
        <v>0</v>
      </c>
      <c r="N62" s="24">
        <f>Raw!M63</f>
        <v>0</v>
      </c>
      <c r="O62" s="24">
        <f>Raw!N63</f>
        <v>0</v>
      </c>
      <c r="P62" s="24">
        <f>Raw!O63</f>
        <v>-0.22570176787990515</v>
      </c>
      <c r="Q62" s="24" t="str">
        <f>Raw!P63</f>
        <v>ResSpHtFAFZ3</v>
      </c>
    </row>
    <row r="63" spans="1:17" ht="25.5">
      <c r="A63" t="str">
        <f t="shared" si="0"/>
        <v>Tier1_indor2_HZ3_efafCoolkwh</v>
      </c>
      <c r="B63" s="24" t="str">
        <f>Raw!A64</f>
        <v>Tier1_indor2_HZ3_efaf</v>
      </c>
      <c r="C63" s="24" t="str">
        <f>Raw!B64</f>
        <v>Coolkwh</v>
      </c>
      <c r="D63" s="24">
        <f>Raw!C64</f>
        <v>0</v>
      </c>
      <c r="E63" s="24">
        <f>Raw!D64</f>
        <v>13</v>
      </c>
      <c r="F63" s="44">
        <f>Raw!E64*$B$4</f>
        <v>0</v>
      </c>
      <c r="G63" s="24">
        <f>Raw!F64</f>
        <v>0</v>
      </c>
      <c r="H63" s="24" t="str">
        <f>Raw!G64</f>
        <v>ResCACPNW</v>
      </c>
      <c r="I63" s="24">
        <f>Raw!H64</f>
        <v>-3.0001420000773384</v>
      </c>
      <c r="J63" s="24">
        <f>Raw!I64</f>
        <v>0</v>
      </c>
      <c r="K63" s="24">
        <f>Raw!J64</f>
        <v>0</v>
      </c>
      <c r="L63" s="24">
        <f>Raw!K64</f>
        <v>0</v>
      </c>
      <c r="M63" s="24">
        <f>Raw!L64</f>
        <v>0</v>
      </c>
      <c r="N63" s="24">
        <f>Raw!M64</f>
        <v>0</v>
      </c>
      <c r="O63" s="24">
        <f>Raw!N64</f>
        <v>0</v>
      </c>
      <c r="P63" s="24">
        <f>Raw!O64</f>
        <v>0</v>
      </c>
      <c r="Q63" s="24" t="str">
        <f>Raw!P64</f>
        <v/>
      </c>
    </row>
    <row r="64" spans="1:17">
      <c r="A64" t="str">
        <f t="shared" si="0"/>
        <v>Tier1_indor2_HZ3_hp85DHWkwh</v>
      </c>
      <c r="B64" s="24" t="str">
        <f>Raw!A65</f>
        <v>Tier1_indor2_HZ3_hp85</v>
      </c>
      <c r="C64" s="24" t="str">
        <f>Raw!B65</f>
        <v>DHWkwh</v>
      </c>
      <c r="D64" s="24">
        <f>Raw!C65</f>
        <v>1326.5331893124023</v>
      </c>
      <c r="E64" s="24">
        <f>Raw!D65</f>
        <v>13</v>
      </c>
      <c r="F64" s="44">
        <f>Raw!E65*$B$4</f>
        <v>724.5875237038573</v>
      </c>
      <c r="G64" s="24">
        <f>Raw!F65</f>
        <v>0</v>
      </c>
      <c r="H64" s="24" t="str">
        <f>Raw!G65</f>
        <v>ResDHW</v>
      </c>
      <c r="I64" s="24">
        <f>Raw!H65</f>
        <v>-2.1813791972269616</v>
      </c>
      <c r="J64" s="24">
        <f>Raw!I65</f>
        <v>0</v>
      </c>
      <c r="K64" s="24">
        <f>Raw!J65</f>
        <v>0</v>
      </c>
      <c r="L64" s="24">
        <f>Raw!K65</f>
        <v>0</v>
      </c>
      <c r="M64" s="24">
        <f>Raw!L65</f>
        <v>0</v>
      </c>
      <c r="N64" s="24">
        <f>Raw!M65</f>
        <v>0</v>
      </c>
      <c r="O64" s="24">
        <f>Raw!N65</f>
        <v>0</v>
      </c>
      <c r="P64" s="24">
        <f>Raw!O65</f>
        <v>0</v>
      </c>
      <c r="Q64" s="24" t="str">
        <f>Raw!P65</f>
        <v/>
      </c>
    </row>
    <row r="65" spans="1:17" ht="25.5">
      <c r="A65" t="str">
        <f t="shared" si="0"/>
        <v>Tier1_indor2_HZ3_hp85Heatkwh</v>
      </c>
      <c r="B65" s="24" t="str">
        <f>Raw!A66</f>
        <v>Tier1_indor2_HZ3_hp85</v>
      </c>
      <c r="C65" s="24" t="str">
        <f>Raw!B66</f>
        <v>Heatkwh</v>
      </c>
      <c r="D65" s="24">
        <f>Raw!C66</f>
        <v>-218.72682383511753</v>
      </c>
      <c r="E65" s="24">
        <f>Raw!D66</f>
        <v>13</v>
      </c>
      <c r="F65" s="44">
        <f>Raw!E66*$B$4</f>
        <v>0</v>
      </c>
      <c r="G65" s="24">
        <f>Raw!F66</f>
        <v>0</v>
      </c>
      <c r="H65" s="24" t="str">
        <f>Raw!G66</f>
        <v>ResSpHtHPZ3</v>
      </c>
      <c r="I65" s="24">
        <f>Raw!H66</f>
        <v>-2.1813791972269616</v>
      </c>
      <c r="J65" s="24">
        <f>Raw!I66</f>
        <v>0</v>
      </c>
      <c r="K65" s="24">
        <f>Raw!J66</f>
        <v>0</v>
      </c>
      <c r="L65" s="24">
        <f>Raw!K66</f>
        <v>0</v>
      </c>
      <c r="M65" s="24">
        <f>Raw!L66</f>
        <v>0</v>
      </c>
      <c r="N65" s="24">
        <f>Raw!M66</f>
        <v>0</v>
      </c>
      <c r="O65" s="24">
        <f>Raw!N66</f>
        <v>0</v>
      </c>
      <c r="P65" s="24">
        <f>Raw!O66</f>
        <v>-0.16410594605784717</v>
      </c>
      <c r="Q65" s="24" t="str">
        <f>Raw!P66</f>
        <v>ResSpHtHPZ3</v>
      </c>
    </row>
    <row r="66" spans="1:17" ht="25.5">
      <c r="A66" t="str">
        <f t="shared" si="0"/>
        <v>Tier1_indor2_HZ3_hp85Coolkwh</v>
      </c>
      <c r="B66" s="24" t="str">
        <f>Raw!A67</f>
        <v>Tier1_indor2_HZ3_hp85</v>
      </c>
      <c r="C66" s="24" t="str">
        <f>Raw!B67</f>
        <v>Coolkwh</v>
      </c>
      <c r="D66" s="24">
        <f>Raw!C67</f>
        <v>35.493788701617497</v>
      </c>
      <c r="E66" s="24">
        <f>Raw!D67</f>
        <v>13</v>
      </c>
      <c r="F66" s="44">
        <f>Raw!E67*$B$4</f>
        <v>0</v>
      </c>
      <c r="G66" s="24">
        <f>Raw!F67</f>
        <v>0</v>
      </c>
      <c r="H66" s="24" t="str">
        <f>Raw!G67</f>
        <v>ResCACPNW</v>
      </c>
      <c r="I66" s="24">
        <f>Raw!H67</f>
        <v>-2.1813791972269616</v>
      </c>
      <c r="J66" s="24">
        <f>Raw!I67</f>
        <v>0</v>
      </c>
      <c r="K66" s="24">
        <f>Raw!J67</f>
        <v>0</v>
      </c>
      <c r="L66" s="24">
        <f>Raw!K67</f>
        <v>0</v>
      </c>
      <c r="M66" s="24">
        <f>Raw!L67</f>
        <v>0</v>
      </c>
      <c r="N66" s="24">
        <f>Raw!M67</f>
        <v>0</v>
      </c>
      <c r="O66" s="24">
        <f>Raw!N67</f>
        <v>0</v>
      </c>
      <c r="P66" s="24">
        <f>Raw!O67</f>
        <v>0</v>
      </c>
      <c r="Q66" s="24" t="str">
        <f>Raw!P67</f>
        <v/>
      </c>
    </row>
    <row r="67" spans="1:17">
      <c r="A67" t="str">
        <f t="shared" si="0"/>
        <v>Tier1_indor2_HZ3_zonlDHWkwh</v>
      </c>
      <c r="B67" s="24" t="str">
        <f>Raw!A68</f>
        <v>Tier1_indor2_HZ3_zonl</v>
      </c>
      <c r="C67" s="24" t="str">
        <f>Raw!B68</f>
        <v>DHWkwh</v>
      </c>
      <c r="D67" s="24">
        <f>Raw!C68</f>
        <v>1340.4399211661482</v>
      </c>
      <c r="E67" s="24">
        <f>Raw!D68</f>
        <v>13</v>
      </c>
      <c r="F67" s="44">
        <f>Raw!E68*$B$4</f>
        <v>724.5875237038573</v>
      </c>
      <c r="G67" s="24">
        <f>Raw!F68</f>
        <v>0</v>
      </c>
      <c r="H67" s="24" t="str">
        <f>Raw!G68</f>
        <v>ResDHW</v>
      </c>
      <c r="I67" s="24">
        <f>Raw!H68</f>
        <v>-2.6596515633039379</v>
      </c>
      <c r="J67" s="24">
        <f>Raw!I68</f>
        <v>0</v>
      </c>
      <c r="K67" s="24">
        <f>Raw!J68</f>
        <v>0</v>
      </c>
      <c r="L67" s="24">
        <f>Raw!K68</f>
        <v>0</v>
      </c>
      <c r="M67" s="24">
        <f>Raw!L68</f>
        <v>0</v>
      </c>
      <c r="N67" s="24">
        <f>Raw!M68</f>
        <v>0</v>
      </c>
      <c r="O67" s="24">
        <f>Raw!N68</f>
        <v>0</v>
      </c>
      <c r="P67" s="24">
        <f>Raw!O68</f>
        <v>0</v>
      </c>
      <c r="Q67" s="24" t="str">
        <f>Raw!P68</f>
        <v/>
      </c>
    </row>
    <row r="68" spans="1:17" ht="25.5">
      <c r="A68" t="str">
        <f t="shared" si="0"/>
        <v>Tier1_indor2_HZ3_zonlHeatkwh</v>
      </c>
      <c r="B68" s="24" t="str">
        <f>Raw!A69</f>
        <v>Tier1_indor2_HZ3_zonl</v>
      </c>
      <c r="C68" s="24" t="str">
        <f>Raw!B69</f>
        <v>Heatkwh</v>
      </c>
      <c r="D68" s="24">
        <f>Raw!C69</f>
        <v>-266.68317901312065</v>
      </c>
      <c r="E68" s="24">
        <f>Raw!D69</f>
        <v>13</v>
      </c>
      <c r="F68" s="44">
        <f>Raw!E69*$B$4</f>
        <v>0</v>
      </c>
      <c r="G68" s="24">
        <f>Raw!F69</f>
        <v>0</v>
      </c>
      <c r="H68" s="24" t="str">
        <f>Raw!G69</f>
        <v>ResSpHtBBZ3</v>
      </c>
      <c r="I68" s="24">
        <f>Raw!H69</f>
        <v>-2.6596515633039379</v>
      </c>
      <c r="J68" s="24">
        <f>Raw!I69</f>
        <v>0</v>
      </c>
      <c r="K68" s="24">
        <f>Raw!J69</f>
        <v>0</v>
      </c>
      <c r="L68" s="24">
        <f>Raw!K69</f>
        <v>0</v>
      </c>
      <c r="M68" s="24">
        <f>Raw!L69</f>
        <v>0</v>
      </c>
      <c r="N68" s="24">
        <f>Raw!M69</f>
        <v>0</v>
      </c>
      <c r="O68" s="24">
        <f>Raw!N69</f>
        <v>0</v>
      </c>
      <c r="P68" s="24">
        <f>Raw!O69</f>
        <v>-0.2000865491589324</v>
      </c>
      <c r="Q68" s="24" t="str">
        <f>Raw!P69</f>
        <v>ResSpHtBBZ3</v>
      </c>
    </row>
    <row r="69" spans="1:17" ht="25.5">
      <c r="A69" t="str">
        <f t="shared" si="0"/>
        <v>Tier1_indor2_HZ3_zonlCoolkwh</v>
      </c>
      <c r="B69" s="24" t="str">
        <f>Raw!A70</f>
        <v>Tier1_indor2_HZ3_zonl</v>
      </c>
      <c r="C69" s="24" t="str">
        <f>Raw!B70</f>
        <v>Coolkwh</v>
      </c>
      <c r="D69" s="24">
        <f>Raw!C70</f>
        <v>0</v>
      </c>
      <c r="E69" s="24">
        <f>Raw!D70</f>
        <v>13</v>
      </c>
      <c r="F69" s="44">
        <f>Raw!E70*$B$4</f>
        <v>0</v>
      </c>
      <c r="G69" s="24">
        <f>Raw!F70</f>
        <v>0</v>
      </c>
      <c r="H69" s="24" t="str">
        <f>Raw!G70</f>
        <v>ResCACPNW</v>
      </c>
      <c r="I69" s="24">
        <f>Raw!H70</f>
        <v>-2.6596515633039379</v>
      </c>
      <c r="J69" s="24">
        <f>Raw!I70</f>
        <v>0</v>
      </c>
      <c r="K69" s="24">
        <f>Raw!J70</f>
        <v>0</v>
      </c>
      <c r="L69" s="24">
        <f>Raw!K70</f>
        <v>0</v>
      </c>
      <c r="M69" s="24">
        <f>Raw!L70</f>
        <v>0</v>
      </c>
      <c r="N69" s="24">
        <f>Raw!M70</f>
        <v>0</v>
      </c>
      <c r="O69" s="24">
        <f>Raw!N70</f>
        <v>0</v>
      </c>
      <c r="P69" s="24">
        <f>Raw!O70</f>
        <v>0</v>
      </c>
      <c r="Q69" s="24" t="str">
        <f>Raw!P70</f>
        <v/>
      </c>
    </row>
    <row r="70" spans="1:17">
      <c r="A70" t="str">
        <f t="shared" si="0"/>
        <v>Tier2_garage_HZ1DHWkwh</v>
      </c>
      <c r="B70" s="24" t="str">
        <f>Raw!A71</f>
        <v>Tier2_garage_HZ1</v>
      </c>
      <c r="C70" s="24" t="str">
        <f>Raw!B71</f>
        <v>DHWkwh</v>
      </c>
      <c r="D70" s="24">
        <f>Raw!C71</f>
        <v>1219.6611141810399</v>
      </c>
      <c r="E70" s="24">
        <f>Raw!D71</f>
        <v>13</v>
      </c>
      <c r="F70" s="44">
        <f>Raw!E71*$B$4</f>
        <v>1908.0880618971839</v>
      </c>
      <c r="G70" s="24">
        <f>Raw!F71</f>
        <v>0</v>
      </c>
      <c r="H70" s="24" t="str">
        <f>Raw!G71</f>
        <v>ResDHW</v>
      </c>
      <c r="I70" s="24">
        <f>Raw!H71</f>
        <v>0</v>
      </c>
      <c r="J70" s="24">
        <f>Raw!I71</f>
        <v>0</v>
      </c>
      <c r="K70" s="24">
        <f>Raw!J71</f>
        <v>0</v>
      </c>
      <c r="L70" s="24">
        <f>Raw!K71</f>
        <v>0</v>
      </c>
      <c r="M70" s="24">
        <f>Raw!L71</f>
        <v>0</v>
      </c>
      <c r="N70" s="24">
        <f>Raw!M71</f>
        <v>0</v>
      </c>
      <c r="O70" s="24">
        <f>Raw!N71</f>
        <v>0</v>
      </c>
      <c r="P70" s="24">
        <f>Raw!O71</f>
        <v>0</v>
      </c>
      <c r="Q70" s="24" t="str">
        <f>Raw!P71</f>
        <v/>
      </c>
    </row>
    <row r="71" spans="1:17" ht="25.5">
      <c r="A71" t="str">
        <f t="shared" ref="A71:A132" si="1">B71&amp;C71</f>
        <v>Tier2_garage_HZ1Heatkwh</v>
      </c>
      <c r="B71" s="24" t="str">
        <f>Raw!A72</f>
        <v>Tier2_garage_HZ1</v>
      </c>
      <c r="C71" s="24" t="str">
        <f>Raw!B72</f>
        <v>Heatkwh</v>
      </c>
      <c r="D71" s="24">
        <f>Raw!C72</f>
        <v>0</v>
      </c>
      <c r="E71" s="24">
        <f>Raw!D72</f>
        <v>13</v>
      </c>
      <c r="F71" s="44">
        <f>Raw!E72*$B$4</f>
        <v>0</v>
      </c>
      <c r="G71" s="24">
        <f>Raw!F72</f>
        <v>0</v>
      </c>
      <c r="H71" s="24" t="str">
        <f>Raw!G72</f>
        <v>ResSpHtFAFZ1</v>
      </c>
      <c r="I71" s="24">
        <f>Raw!H72</f>
        <v>0</v>
      </c>
      <c r="J71" s="24">
        <f>Raw!I72</f>
        <v>0</v>
      </c>
      <c r="K71" s="24">
        <f>Raw!J72</f>
        <v>0</v>
      </c>
      <c r="L71" s="24">
        <f>Raw!K72</f>
        <v>0</v>
      </c>
      <c r="M71" s="24">
        <f>Raw!L72</f>
        <v>0</v>
      </c>
      <c r="N71" s="24">
        <f>Raw!M72</f>
        <v>0</v>
      </c>
      <c r="O71" s="24">
        <f>Raw!N72</f>
        <v>0</v>
      </c>
      <c r="P71" s="24">
        <f>Raw!O72</f>
        <v>0</v>
      </c>
      <c r="Q71" s="24" t="str">
        <f>Raw!P72</f>
        <v/>
      </c>
    </row>
    <row r="72" spans="1:17" ht="25.5">
      <c r="A72" t="str">
        <f t="shared" si="1"/>
        <v>Tier2_garage_HZ1Coolkwh</v>
      </c>
      <c r="B72" s="24" t="str">
        <f>Raw!A73</f>
        <v>Tier2_garage_HZ1</v>
      </c>
      <c r="C72" s="24" t="str">
        <f>Raw!B73</f>
        <v>Coolkwh</v>
      </c>
      <c r="D72" s="24">
        <f>Raw!C73</f>
        <v>0</v>
      </c>
      <c r="E72" s="24">
        <f>Raw!D73</f>
        <v>13</v>
      </c>
      <c r="F72" s="44">
        <f>Raw!E73*$B$4</f>
        <v>0</v>
      </c>
      <c r="G72" s="24">
        <f>Raw!F73</f>
        <v>0</v>
      </c>
      <c r="H72" s="24" t="str">
        <f>Raw!G73</f>
        <v>ResCACPNW</v>
      </c>
      <c r="I72" s="24">
        <f>Raw!H73</f>
        <v>0</v>
      </c>
      <c r="J72" s="24">
        <f>Raw!I73</f>
        <v>0</v>
      </c>
      <c r="K72" s="24">
        <f>Raw!J73</f>
        <v>0</v>
      </c>
      <c r="L72" s="24">
        <f>Raw!K73</f>
        <v>0</v>
      </c>
      <c r="M72" s="24">
        <f>Raw!L73</f>
        <v>0</v>
      </c>
      <c r="N72" s="24">
        <f>Raw!M73</f>
        <v>0</v>
      </c>
      <c r="O72" s="24">
        <f>Raw!N73</f>
        <v>0</v>
      </c>
      <c r="P72" s="24">
        <f>Raw!O73</f>
        <v>0</v>
      </c>
      <c r="Q72" s="24" t="str">
        <f>Raw!P73</f>
        <v/>
      </c>
    </row>
    <row r="73" spans="1:17">
      <c r="A73" t="str">
        <f t="shared" si="1"/>
        <v>Tier2_garage_HZ2DHWkwh</v>
      </c>
      <c r="B73" s="24" t="str">
        <f>Raw!A74</f>
        <v>Tier2_garage_HZ2</v>
      </c>
      <c r="C73" s="24" t="str">
        <f>Raw!B74</f>
        <v>DHWkwh</v>
      </c>
      <c r="D73" s="24">
        <f>Raw!C74</f>
        <v>1252.2728975309985</v>
      </c>
      <c r="E73" s="24">
        <f>Raw!D74</f>
        <v>13</v>
      </c>
      <c r="F73" s="44">
        <f>Raw!E74*$B$4</f>
        <v>1908.0880618971839</v>
      </c>
      <c r="G73" s="24">
        <f>Raw!F74</f>
        <v>0</v>
      </c>
      <c r="H73" s="24" t="str">
        <f>Raw!G74</f>
        <v>ResDHW</v>
      </c>
      <c r="I73" s="24">
        <f>Raw!H74</f>
        <v>0</v>
      </c>
      <c r="J73" s="24">
        <f>Raw!I74</f>
        <v>0</v>
      </c>
      <c r="K73" s="24">
        <f>Raw!J74</f>
        <v>0</v>
      </c>
      <c r="L73" s="24">
        <f>Raw!K74</f>
        <v>0</v>
      </c>
      <c r="M73" s="24">
        <f>Raw!L74</f>
        <v>0</v>
      </c>
      <c r="N73" s="24">
        <f>Raw!M74</f>
        <v>0</v>
      </c>
      <c r="O73" s="24">
        <f>Raw!N74</f>
        <v>0</v>
      </c>
      <c r="P73" s="24">
        <f>Raw!O74</f>
        <v>0</v>
      </c>
      <c r="Q73" s="24" t="str">
        <f>Raw!P74</f>
        <v/>
      </c>
    </row>
    <row r="74" spans="1:17" ht="25.5">
      <c r="A74" t="str">
        <f t="shared" si="1"/>
        <v>Tier2_garage_HZ2Heatkwh</v>
      </c>
      <c r="B74" s="24" t="str">
        <f>Raw!A75</f>
        <v>Tier2_garage_HZ2</v>
      </c>
      <c r="C74" s="24" t="str">
        <f>Raw!B75</f>
        <v>Heatkwh</v>
      </c>
      <c r="D74" s="24">
        <f>Raw!C75</f>
        <v>0</v>
      </c>
      <c r="E74" s="24">
        <f>Raw!D75</f>
        <v>13</v>
      </c>
      <c r="F74" s="44">
        <f>Raw!E75*$B$4</f>
        <v>0</v>
      </c>
      <c r="G74" s="24">
        <f>Raw!F75</f>
        <v>0</v>
      </c>
      <c r="H74" s="24" t="str">
        <f>Raw!G75</f>
        <v>ResSpHtFAFZ2</v>
      </c>
      <c r="I74" s="24">
        <f>Raw!H75</f>
        <v>0</v>
      </c>
      <c r="J74" s="24">
        <f>Raw!I75</f>
        <v>0</v>
      </c>
      <c r="K74" s="24">
        <f>Raw!J75</f>
        <v>0</v>
      </c>
      <c r="L74" s="24">
        <f>Raw!K75</f>
        <v>0</v>
      </c>
      <c r="M74" s="24">
        <f>Raw!L75</f>
        <v>0</v>
      </c>
      <c r="N74" s="24">
        <f>Raw!M75</f>
        <v>0</v>
      </c>
      <c r="O74" s="24">
        <f>Raw!N75</f>
        <v>0</v>
      </c>
      <c r="P74" s="24">
        <f>Raw!O75</f>
        <v>0</v>
      </c>
      <c r="Q74" s="24" t="str">
        <f>Raw!P75</f>
        <v/>
      </c>
    </row>
    <row r="75" spans="1:17" ht="25.5">
      <c r="A75" t="str">
        <f t="shared" si="1"/>
        <v>Tier2_garage_HZ2Coolkwh</v>
      </c>
      <c r="B75" s="24" t="str">
        <f>Raw!A76</f>
        <v>Tier2_garage_HZ2</v>
      </c>
      <c r="C75" s="24" t="str">
        <f>Raw!B76</f>
        <v>Coolkwh</v>
      </c>
      <c r="D75" s="24">
        <f>Raw!C76</f>
        <v>0</v>
      </c>
      <c r="E75" s="24">
        <f>Raw!D76</f>
        <v>13</v>
      </c>
      <c r="F75" s="44">
        <f>Raw!E76*$B$4</f>
        <v>0</v>
      </c>
      <c r="G75" s="24">
        <f>Raw!F76</f>
        <v>0</v>
      </c>
      <c r="H75" s="24" t="str">
        <f>Raw!G76</f>
        <v>ResCACPNW</v>
      </c>
      <c r="I75" s="24">
        <f>Raw!H76</f>
        <v>0</v>
      </c>
      <c r="J75" s="24">
        <f>Raw!I76</f>
        <v>0</v>
      </c>
      <c r="K75" s="24">
        <f>Raw!J76</f>
        <v>0</v>
      </c>
      <c r="L75" s="24">
        <f>Raw!K76</f>
        <v>0</v>
      </c>
      <c r="M75" s="24">
        <f>Raw!L76</f>
        <v>0</v>
      </c>
      <c r="N75" s="24">
        <f>Raw!M76</f>
        <v>0</v>
      </c>
      <c r="O75" s="24">
        <f>Raw!N76</f>
        <v>0</v>
      </c>
      <c r="P75" s="24">
        <f>Raw!O76</f>
        <v>0</v>
      </c>
      <c r="Q75" s="24" t="str">
        <f>Raw!P76</f>
        <v/>
      </c>
    </row>
    <row r="76" spans="1:17">
      <c r="A76" t="str">
        <f t="shared" si="1"/>
        <v>Tier2_garage_HZ3DHWkwh</v>
      </c>
      <c r="B76" s="24" t="str">
        <f>Raw!A77</f>
        <v>Tier2_garage_HZ3</v>
      </c>
      <c r="C76" s="24" t="str">
        <f>Raw!B77</f>
        <v>DHWkwh</v>
      </c>
      <c r="D76" s="24">
        <f>Raw!C77</f>
        <v>1287.3873928988805</v>
      </c>
      <c r="E76" s="24">
        <f>Raw!D77</f>
        <v>13</v>
      </c>
      <c r="F76" s="44">
        <f>Raw!E77*$B$4</f>
        <v>1908.0880618971839</v>
      </c>
      <c r="G76" s="24">
        <f>Raw!F77</f>
        <v>0</v>
      </c>
      <c r="H76" s="24" t="str">
        <f>Raw!G77</f>
        <v>ResDHW</v>
      </c>
      <c r="I76" s="24">
        <f>Raw!H77</f>
        <v>0</v>
      </c>
      <c r="J76" s="24">
        <f>Raw!I77</f>
        <v>0</v>
      </c>
      <c r="K76" s="24">
        <f>Raw!J77</f>
        <v>0</v>
      </c>
      <c r="L76" s="24">
        <f>Raw!K77</f>
        <v>0</v>
      </c>
      <c r="M76" s="24">
        <f>Raw!L77</f>
        <v>0</v>
      </c>
      <c r="N76" s="24">
        <f>Raw!M77</f>
        <v>0</v>
      </c>
      <c r="O76" s="24">
        <f>Raw!N77</f>
        <v>0</v>
      </c>
      <c r="P76" s="24">
        <f>Raw!O77</f>
        <v>0</v>
      </c>
      <c r="Q76" s="24" t="str">
        <f>Raw!P77</f>
        <v/>
      </c>
    </row>
    <row r="77" spans="1:17" ht="25.5">
      <c r="A77" t="str">
        <f t="shared" si="1"/>
        <v>Tier2_garage_HZ3Heatkwh</v>
      </c>
      <c r="B77" s="24" t="str">
        <f>Raw!A78</f>
        <v>Tier2_garage_HZ3</v>
      </c>
      <c r="C77" s="24" t="str">
        <f>Raw!B78</f>
        <v>Heatkwh</v>
      </c>
      <c r="D77" s="24">
        <f>Raw!C78</f>
        <v>0</v>
      </c>
      <c r="E77" s="24">
        <f>Raw!D78</f>
        <v>13</v>
      </c>
      <c r="F77" s="44">
        <f>Raw!E78*$B$4</f>
        <v>0</v>
      </c>
      <c r="G77" s="24">
        <f>Raw!F78</f>
        <v>0</v>
      </c>
      <c r="H77" s="24" t="str">
        <f>Raw!G78</f>
        <v>ResSpHtFAFZ3</v>
      </c>
      <c r="I77" s="24">
        <f>Raw!H78</f>
        <v>0</v>
      </c>
      <c r="J77" s="24">
        <f>Raw!I78</f>
        <v>0</v>
      </c>
      <c r="K77" s="24">
        <f>Raw!J78</f>
        <v>0</v>
      </c>
      <c r="L77" s="24">
        <f>Raw!K78</f>
        <v>0</v>
      </c>
      <c r="M77" s="24">
        <f>Raw!L78</f>
        <v>0</v>
      </c>
      <c r="N77" s="24">
        <f>Raw!M78</f>
        <v>0</v>
      </c>
      <c r="O77" s="24">
        <f>Raw!N78</f>
        <v>0</v>
      </c>
      <c r="P77" s="24">
        <f>Raw!O78</f>
        <v>0</v>
      </c>
      <c r="Q77" s="24" t="str">
        <f>Raw!P78</f>
        <v/>
      </c>
    </row>
    <row r="78" spans="1:17" ht="25.5">
      <c r="A78" t="str">
        <f t="shared" si="1"/>
        <v>Tier2_garage_HZ3Coolkwh</v>
      </c>
      <c r="B78" s="24" t="str">
        <f>Raw!A79</f>
        <v>Tier2_garage_HZ3</v>
      </c>
      <c r="C78" s="24" t="str">
        <f>Raw!B79</f>
        <v>Coolkwh</v>
      </c>
      <c r="D78" s="24">
        <f>Raw!C79</f>
        <v>0</v>
      </c>
      <c r="E78" s="24">
        <f>Raw!D79</f>
        <v>13</v>
      </c>
      <c r="F78" s="44">
        <f>Raw!E79*$B$4</f>
        <v>0</v>
      </c>
      <c r="G78" s="24">
        <f>Raw!F79</f>
        <v>0</v>
      </c>
      <c r="H78" s="24" t="str">
        <f>Raw!G79</f>
        <v>ResCACPNW</v>
      </c>
      <c r="I78" s="24">
        <f>Raw!H79</f>
        <v>0</v>
      </c>
      <c r="J78" s="24">
        <f>Raw!I79</f>
        <v>0</v>
      </c>
      <c r="K78" s="24">
        <f>Raw!J79</f>
        <v>0</v>
      </c>
      <c r="L78" s="24">
        <f>Raw!K79</f>
        <v>0</v>
      </c>
      <c r="M78" s="24">
        <f>Raw!L79</f>
        <v>0</v>
      </c>
      <c r="N78" s="24">
        <f>Raw!M79</f>
        <v>0</v>
      </c>
      <c r="O78" s="24">
        <f>Raw!N79</f>
        <v>0</v>
      </c>
      <c r="P78" s="24">
        <f>Raw!O79</f>
        <v>0</v>
      </c>
      <c r="Q78" s="24" t="str">
        <f>Raw!P79</f>
        <v/>
      </c>
    </row>
    <row r="79" spans="1:17">
      <c r="A79" t="str">
        <f t="shared" si="1"/>
        <v>Tier2_basmnt_HZ1DHWkwh</v>
      </c>
      <c r="B79" s="24" t="str">
        <f>Raw!A80</f>
        <v>Tier2_basmnt_HZ1</v>
      </c>
      <c r="C79" s="24" t="str">
        <f>Raw!B80</f>
        <v>DHWkwh</v>
      </c>
      <c r="D79" s="24">
        <f>Raw!C80</f>
        <v>1223.1842562916038</v>
      </c>
      <c r="E79" s="24">
        <f>Raw!D80</f>
        <v>13</v>
      </c>
      <c r="F79" s="44">
        <f>Raw!E80*$B$4</f>
        <v>1908.0880618971839</v>
      </c>
      <c r="G79" s="24">
        <f>Raw!F80</f>
        <v>0</v>
      </c>
      <c r="H79" s="24" t="str">
        <f>Raw!G80</f>
        <v>ResDHW</v>
      </c>
      <c r="I79" s="24">
        <f>Raw!H80</f>
        <v>0</v>
      </c>
      <c r="J79" s="24">
        <f>Raw!I80</f>
        <v>0</v>
      </c>
      <c r="K79" s="24">
        <f>Raw!J80</f>
        <v>0</v>
      </c>
      <c r="L79" s="24">
        <f>Raw!K80</f>
        <v>0</v>
      </c>
      <c r="M79" s="24">
        <f>Raw!L80</f>
        <v>0</v>
      </c>
      <c r="N79" s="24">
        <f>Raw!M80</f>
        <v>0</v>
      </c>
      <c r="O79" s="24">
        <f>Raw!N80</f>
        <v>0</v>
      </c>
      <c r="P79" s="24">
        <f>Raw!O80</f>
        <v>0</v>
      </c>
      <c r="Q79" s="24" t="str">
        <f>Raw!P80</f>
        <v/>
      </c>
    </row>
    <row r="80" spans="1:17" ht="25.5">
      <c r="A80" t="str">
        <f t="shared" si="1"/>
        <v>Tier2_basmnt_HZ1Heatkwh</v>
      </c>
      <c r="B80" s="24" t="str">
        <f>Raw!A81</f>
        <v>Tier2_basmnt_HZ1</v>
      </c>
      <c r="C80" s="24" t="str">
        <f>Raw!B81</f>
        <v>Heatkwh</v>
      </c>
      <c r="D80" s="24">
        <f>Raw!C81</f>
        <v>0</v>
      </c>
      <c r="E80" s="24">
        <f>Raw!D81</f>
        <v>13</v>
      </c>
      <c r="F80" s="44">
        <f>Raw!E81*$B$4</f>
        <v>0</v>
      </c>
      <c r="G80" s="24">
        <f>Raw!F81</f>
        <v>0</v>
      </c>
      <c r="H80" s="24" t="str">
        <f>Raw!G81</f>
        <v>ResSpHtFAFZ1</v>
      </c>
      <c r="I80" s="24">
        <f>Raw!H81</f>
        <v>0</v>
      </c>
      <c r="J80" s="24">
        <f>Raw!I81</f>
        <v>0</v>
      </c>
      <c r="K80" s="24">
        <f>Raw!J81</f>
        <v>0</v>
      </c>
      <c r="L80" s="24">
        <f>Raw!K81</f>
        <v>0</v>
      </c>
      <c r="M80" s="24">
        <f>Raw!L81</f>
        <v>0</v>
      </c>
      <c r="N80" s="24">
        <f>Raw!M81</f>
        <v>0</v>
      </c>
      <c r="O80" s="24">
        <f>Raw!N81</f>
        <v>0</v>
      </c>
      <c r="P80" s="24">
        <f>Raw!O81</f>
        <v>0</v>
      </c>
      <c r="Q80" s="24" t="str">
        <f>Raw!P81</f>
        <v/>
      </c>
    </row>
    <row r="81" spans="1:17" ht="25.5">
      <c r="A81" t="str">
        <f t="shared" si="1"/>
        <v>Tier2_basmnt_HZ1Coolkwh</v>
      </c>
      <c r="B81" s="24" t="str">
        <f>Raw!A82</f>
        <v>Tier2_basmnt_HZ1</v>
      </c>
      <c r="C81" s="24" t="str">
        <f>Raw!B82</f>
        <v>Coolkwh</v>
      </c>
      <c r="D81" s="24">
        <f>Raw!C82</f>
        <v>0</v>
      </c>
      <c r="E81" s="24">
        <f>Raw!D82</f>
        <v>13</v>
      </c>
      <c r="F81" s="44">
        <f>Raw!E82*$B$4</f>
        <v>0</v>
      </c>
      <c r="G81" s="24">
        <f>Raw!F82</f>
        <v>0</v>
      </c>
      <c r="H81" s="24" t="str">
        <f>Raw!G82</f>
        <v>ResCACPNW</v>
      </c>
      <c r="I81" s="24">
        <f>Raw!H82</f>
        <v>0</v>
      </c>
      <c r="J81" s="24">
        <f>Raw!I82</f>
        <v>0</v>
      </c>
      <c r="K81" s="24">
        <f>Raw!J82</f>
        <v>0</v>
      </c>
      <c r="L81" s="24">
        <f>Raw!K82</f>
        <v>0</v>
      </c>
      <c r="M81" s="24">
        <f>Raw!L82</f>
        <v>0</v>
      </c>
      <c r="N81" s="24">
        <f>Raw!M82</f>
        <v>0</v>
      </c>
      <c r="O81" s="24">
        <f>Raw!N82</f>
        <v>0</v>
      </c>
      <c r="P81" s="24">
        <f>Raw!O82</f>
        <v>0</v>
      </c>
      <c r="Q81" s="24" t="str">
        <f>Raw!P82</f>
        <v/>
      </c>
    </row>
    <row r="82" spans="1:17">
      <c r="A82" t="str">
        <f t="shared" si="1"/>
        <v>Tier2_basmnt_HZ2DHWkwh</v>
      </c>
      <c r="B82" s="24" t="str">
        <f>Raw!A83</f>
        <v>Tier2_basmnt_HZ2</v>
      </c>
      <c r="C82" s="24" t="str">
        <f>Raw!B83</f>
        <v>DHWkwh</v>
      </c>
      <c r="D82" s="24">
        <f>Raw!C83</f>
        <v>1266.5397253417802</v>
      </c>
      <c r="E82" s="24">
        <f>Raw!D83</f>
        <v>13</v>
      </c>
      <c r="F82" s="44">
        <f>Raw!E83*$B$4</f>
        <v>1908.0880618971839</v>
      </c>
      <c r="G82" s="24">
        <f>Raw!F83</f>
        <v>0</v>
      </c>
      <c r="H82" s="24" t="str">
        <f>Raw!G83</f>
        <v>ResDHW</v>
      </c>
      <c r="I82" s="24">
        <f>Raw!H83</f>
        <v>0</v>
      </c>
      <c r="J82" s="24">
        <f>Raw!I83</f>
        <v>0</v>
      </c>
      <c r="K82" s="24">
        <f>Raw!J83</f>
        <v>0</v>
      </c>
      <c r="L82" s="24">
        <f>Raw!K83</f>
        <v>0</v>
      </c>
      <c r="M82" s="24">
        <f>Raw!L83</f>
        <v>0</v>
      </c>
      <c r="N82" s="24">
        <f>Raw!M83</f>
        <v>0</v>
      </c>
      <c r="O82" s="24">
        <f>Raw!N83</f>
        <v>0</v>
      </c>
      <c r="P82" s="24">
        <f>Raw!O83</f>
        <v>0</v>
      </c>
      <c r="Q82" s="24" t="str">
        <f>Raw!P83</f>
        <v/>
      </c>
    </row>
    <row r="83" spans="1:17" ht="25.5">
      <c r="A83" t="str">
        <f t="shared" si="1"/>
        <v>Tier2_basmnt_HZ2Heatkwh</v>
      </c>
      <c r="B83" s="24" t="str">
        <f>Raw!A84</f>
        <v>Tier2_basmnt_HZ2</v>
      </c>
      <c r="C83" s="24" t="str">
        <f>Raw!B84</f>
        <v>Heatkwh</v>
      </c>
      <c r="D83" s="24">
        <f>Raw!C84</f>
        <v>0</v>
      </c>
      <c r="E83" s="24">
        <f>Raw!D84</f>
        <v>13</v>
      </c>
      <c r="F83" s="44">
        <f>Raw!E84*$B$4</f>
        <v>0</v>
      </c>
      <c r="G83" s="24">
        <f>Raw!F84</f>
        <v>0</v>
      </c>
      <c r="H83" s="24" t="str">
        <f>Raw!G84</f>
        <v>ResSpHtFAFZ2</v>
      </c>
      <c r="I83" s="24">
        <f>Raw!H84</f>
        <v>0</v>
      </c>
      <c r="J83" s="24">
        <f>Raw!I84</f>
        <v>0</v>
      </c>
      <c r="K83" s="24">
        <f>Raw!J84</f>
        <v>0</v>
      </c>
      <c r="L83" s="24">
        <f>Raw!K84</f>
        <v>0</v>
      </c>
      <c r="M83" s="24">
        <f>Raw!L84</f>
        <v>0</v>
      </c>
      <c r="N83" s="24">
        <f>Raw!M84</f>
        <v>0</v>
      </c>
      <c r="O83" s="24">
        <f>Raw!N84</f>
        <v>0</v>
      </c>
      <c r="P83" s="24">
        <f>Raw!O84</f>
        <v>0</v>
      </c>
      <c r="Q83" s="24" t="str">
        <f>Raw!P84</f>
        <v/>
      </c>
    </row>
    <row r="84" spans="1:17" ht="25.5">
      <c r="A84" t="str">
        <f t="shared" si="1"/>
        <v>Tier2_basmnt_HZ2Coolkwh</v>
      </c>
      <c r="B84" s="24" t="str">
        <f>Raw!A85</f>
        <v>Tier2_basmnt_HZ2</v>
      </c>
      <c r="C84" s="24" t="str">
        <f>Raw!B85</f>
        <v>Coolkwh</v>
      </c>
      <c r="D84" s="24">
        <f>Raw!C85</f>
        <v>0</v>
      </c>
      <c r="E84" s="24">
        <f>Raw!D85</f>
        <v>13</v>
      </c>
      <c r="F84" s="44">
        <f>Raw!E85*$B$4</f>
        <v>0</v>
      </c>
      <c r="G84" s="24">
        <f>Raw!F85</f>
        <v>0</v>
      </c>
      <c r="H84" s="24" t="str">
        <f>Raw!G85</f>
        <v>ResCACPNW</v>
      </c>
      <c r="I84" s="24">
        <f>Raw!H85</f>
        <v>0</v>
      </c>
      <c r="J84" s="24">
        <f>Raw!I85</f>
        <v>0</v>
      </c>
      <c r="K84" s="24">
        <f>Raw!J85</f>
        <v>0</v>
      </c>
      <c r="L84" s="24">
        <f>Raw!K85</f>
        <v>0</v>
      </c>
      <c r="M84" s="24">
        <f>Raw!L85</f>
        <v>0</v>
      </c>
      <c r="N84" s="24">
        <f>Raw!M85</f>
        <v>0</v>
      </c>
      <c r="O84" s="24">
        <f>Raw!N85</f>
        <v>0</v>
      </c>
      <c r="P84" s="24">
        <f>Raw!O85</f>
        <v>0</v>
      </c>
      <c r="Q84" s="24" t="str">
        <f>Raw!P85</f>
        <v/>
      </c>
    </row>
    <row r="85" spans="1:17">
      <c r="A85" t="str">
        <f t="shared" si="1"/>
        <v>Tier2_basmnt_HZ3DHWkwh</v>
      </c>
      <c r="B85" s="24" t="str">
        <f>Raw!A86</f>
        <v>Tier2_basmnt_HZ3</v>
      </c>
      <c r="C85" s="24" t="str">
        <f>Raw!B86</f>
        <v>DHWkwh</v>
      </c>
      <c r="D85" s="24">
        <f>Raw!C86</f>
        <v>1314.3280458044628</v>
      </c>
      <c r="E85" s="24">
        <f>Raw!D86</f>
        <v>13</v>
      </c>
      <c r="F85" s="44">
        <f>Raw!E86*$B$4</f>
        <v>1908.0880618971839</v>
      </c>
      <c r="G85" s="24">
        <f>Raw!F86</f>
        <v>0</v>
      </c>
      <c r="H85" s="24" t="str">
        <f>Raw!G86</f>
        <v>ResDHW</v>
      </c>
      <c r="I85" s="24">
        <f>Raw!H86</f>
        <v>0</v>
      </c>
      <c r="J85" s="24">
        <f>Raw!I86</f>
        <v>0</v>
      </c>
      <c r="K85" s="24">
        <f>Raw!J86</f>
        <v>0</v>
      </c>
      <c r="L85" s="24">
        <f>Raw!K86</f>
        <v>0</v>
      </c>
      <c r="M85" s="24">
        <f>Raw!L86</f>
        <v>0</v>
      </c>
      <c r="N85" s="24">
        <f>Raw!M86</f>
        <v>0</v>
      </c>
      <c r="O85" s="24">
        <f>Raw!N86</f>
        <v>0</v>
      </c>
      <c r="P85" s="24">
        <f>Raw!O86</f>
        <v>0</v>
      </c>
      <c r="Q85" s="24" t="str">
        <f>Raw!P86</f>
        <v/>
      </c>
    </row>
    <row r="86" spans="1:17" ht="25.5">
      <c r="A86" t="str">
        <f t="shared" si="1"/>
        <v>Tier2_basmnt_HZ3Heatkwh</v>
      </c>
      <c r="B86" s="24" t="str">
        <f>Raw!A87</f>
        <v>Tier2_basmnt_HZ3</v>
      </c>
      <c r="C86" s="24" t="str">
        <f>Raw!B87</f>
        <v>Heatkwh</v>
      </c>
      <c r="D86" s="24">
        <f>Raw!C87</f>
        <v>0</v>
      </c>
      <c r="E86" s="24">
        <f>Raw!D87</f>
        <v>13</v>
      </c>
      <c r="F86" s="44">
        <f>Raw!E87*$B$4</f>
        <v>0</v>
      </c>
      <c r="G86" s="24">
        <f>Raw!F87</f>
        <v>0</v>
      </c>
      <c r="H86" s="24" t="str">
        <f>Raw!G87</f>
        <v>ResSpHtFAFZ3</v>
      </c>
      <c r="I86" s="24">
        <f>Raw!H87</f>
        <v>0</v>
      </c>
      <c r="J86" s="24">
        <f>Raw!I87</f>
        <v>0</v>
      </c>
      <c r="K86" s="24">
        <f>Raw!J87</f>
        <v>0</v>
      </c>
      <c r="L86" s="24">
        <f>Raw!K87</f>
        <v>0</v>
      </c>
      <c r="M86" s="24">
        <f>Raw!L87</f>
        <v>0</v>
      </c>
      <c r="N86" s="24">
        <f>Raw!M87</f>
        <v>0</v>
      </c>
      <c r="O86" s="24">
        <f>Raw!N87</f>
        <v>0</v>
      </c>
      <c r="P86" s="24">
        <f>Raw!O87</f>
        <v>0</v>
      </c>
      <c r="Q86" s="24" t="str">
        <f>Raw!P87</f>
        <v/>
      </c>
    </row>
    <row r="87" spans="1:17" ht="25.5">
      <c r="A87" t="str">
        <f t="shared" si="1"/>
        <v>Tier2_basmnt_HZ3Coolkwh</v>
      </c>
      <c r="B87" s="24" t="str">
        <f>Raw!A88</f>
        <v>Tier2_basmnt_HZ3</v>
      </c>
      <c r="C87" s="24" t="str">
        <f>Raw!B88</f>
        <v>Coolkwh</v>
      </c>
      <c r="D87" s="24">
        <f>Raw!C88</f>
        <v>0</v>
      </c>
      <c r="E87" s="24">
        <f>Raw!D88</f>
        <v>13</v>
      </c>
      <c r="F87" s="44">
        <f>Raw!E88*$B$4</f>
        <v>0</v>
      </c>
      <c r="G87" s="24">
        <f>Raw!F88</f>
        <v>0</v>
      </c>
      <c r="H87" s="24" t="str">
        <f>Raw!G88</f>
        <v>ResCACPNW</v>
      </c>
      <c r="I87" s="24">
        <f>Raw!H88</f>
        <v>0</v>
      </c>
      <c r="J87" s="24">
        <f>Raw!I88</f>
        <v>0</v>
      </c>
      <c r="K87" s="24">
        <f>Raw!J88</f>
        <v>0</v>
      </c>
      <c r="L87" s="24">
        <f>Raw!K88</f>
        <v>0</v>
      </c>
      <c r="M87" s="24">
        <f>Raw!L88</f>
        <v>0</v>
      </c>
      <c r="N87" s="24">
        <f>Raw!M88</f>
        <v>0</v>
      </c>
      <c r="O87" s="24">
        <f>Raw!N88</f>
        <v>0</v>
      </c>
      <c r="P87" s="24">
        <f>Raw!O88</f>
        <v>0</v>
      </c>
      <c r="Q87" s="24" t="str">
        <f>Raw!P88</f>
        <v/>
      </c>
    </row>
    <row r="88" spans="1:17">
      <c r="A88" t="str">
        <f t="shared" si="1"/>
        <v>Tier2_indor2_HZ1_gfncDHWkwh</v>
      </c>
      <c r="B88" s="24" t="str">
        <f>Raw!A89</f>
        <v>Tier2_indor2_HZ1_gfnc</v>
      </c>
      <c r="C88" s="24" t="str">
        <f>Raw!B89</f>
        <v>DHWkwh</v>
      </c>
      <c r="D88" s="163">
        <f>Raw!C89</f>
        <v>1324.0852438842967</v>
      </c>
      <c r="E88" s="24">
        <f>Raw!D89</f>
        <v>13</v>
      </c>
      <c r="F88" s="44">
        <f>Raw!E89*$B$4</f>
        <v>1908.0880618971839</v>
      </c>
      <c r="G88" s="24">
        <f>Raw!F89</f>
        <v>0</v>
      </c>
      <c r="H88" s="24" t="str">
        <f>Raw!G89</f>
        <v>ResDHW</v>
      </c>
      <c r="I88" s="24">
        <f>Raw!H89</f>
        <v>-5.9441514576292098</v>
      </c>
      <c r="J88" s="24">
        <f>Raw!I89</f>
        <v>0</v>
      </c>
      <c r="K88" s="24">
        <f>Raw!J89</f>
        <v>0</v>
      </c>
      <c r="L88" s="24">
        <f>Raw!K89</f>
        <v>0</v>
      </c>
      <c r="M88" s="24">
        <f>Raw!L89</f>
        <v>0</v>
      </c>
      <c r="N88" s="24">
        <f>Raw!M89</f>
        <v>0</v>
      </c>
      <c r="O88" s="24">
        <f>Raw!N89</f>
        <v>0</v>
      </c>
      <c r="P88" s="24">
        <f>Raw!O89</f>
        <v>0</v>
      </c>
      <c r="Q88" s="24" t="str">
        <f>Raw!P89</f>
        <v/>
      </c>
    </row>
    <row r="89" spans="1:17" ht="25.5">
      <c r="A89" t="str">
        <f t="shared" si="1"/>
        <v>Tier2_indor2_HZ1_gfncHeatkwh</v>
      </c>
      <c r="B89" s="24" t="str">
        <f>Raw!A90</f>
        <v>Tier2_indor2_HZ1_gfnc</v>
      </c>
      <c r="C89" s="24" t="str">
        <f>Raw!B90</f>
        <v>Heatkwh</v>
      </c>
      <c r="D89" s="163">
        <f>Raw!C90</f>
        <v>-15.363969414816605</v>
      </c>
      <c r="E89" s="24">
        <f>Raw!D90</f>
        <v>13</v>
      </c>
      <c r="F89" s="44">
        <f>Raw!E90*$B$4</f>
        <v>0</v>
      </c>
      <c r="G89" s="24">
        <f>Raw!F90</f>
        <v>0</v>
      </c>
      <c r="H89" s="24" t="str">
        <f>Raw!G90</f>
        <v>ResSpHtFAFZ1</v>
      </c>
      <c r="I89" s="24">
        <f>Raw!H90</f>
        <v>-5.9441514576292098</v>
      </c>
      <c r="J89" s="24">
        <f>Raw!I90</f>
        <v>0</v>
      </c>
      <c r="K89" s="24">
        <f>Raw!J90</f>
        <v>0</v>
      </c>
      <c r="L89" s="24">
        <f>Raw!K90</f>
        <v>0</v>
      </c>
      <c r="M89" s="24">
        <f>Raw!L90</f>
        <v>0</v>
      </c>
      <c r="N89" s="24">
        <f>Raw!M90</f>
        <v>0</v>
      </c>
      <c r="O89" s="24">
        <f>Raw!N90</f>
        <v>0</v>
      </c>
      <c r="P89" s="24">
        <f>Raw!O90</f>
        <v>-23.153845050052741</v>
      </c>
      <c r="Q89" s="24" t="str">
        <f>Raw!P90</f>
        <v>ResSpHtFAFZ1</v>
      </c>
    </row>
    <row r="90" spans="1:17" ht="25.5">
      <c r="A90" t="str">
        <f t="shared" si="1"/>
        <v>Tier2_indor2_HZ1_gfncCoolkwh</v>
      </c>
      <c r="B90" s="24" t="str">
        <f>Raw!A91</f>
        <v>Tier2_indor2_HZ1_gfnc</v>
      </c>
      <c r="C90" s="24" t="str">
        <f>Raw!B91</f>
        <v>Coolkwh</v>
      </c>
      <c r="D90" s="163">
        <f>Raw!C91</f>
        <v>0</v>
      </c>
      <c r="E90" s="24">
        <f>Raw!D91</f>
        <v>13</v>
      </c>
      <c r="F90" s="44">
        <f>Raw!E91*$B$4</f>
        <v>0</v>
      </c>
      <c r="G90" s="24">
        <f>Raw!F91</f>
        <v>0</v>
      </c>
      <c r="H90" s="24" t="str">
        <f>Raw!G91</f>
        <v>ResCACPNW</v>
      </c>
      <c r="I90" s="24">
        <f>Raw!H91</f>
        <v>-5.9441514576292098</v>
      </c>
      <c r="J90" s="24">
        <f>Raw!I91</f>
        <v>0</v>
      </c>
      <c r="K90" s="24">
        <f>Raw!J91</f>
        <v>0</v>
      </c>
      <c r="L90" s="24">
        <f>Raw!K91</f>
        <v>0</v>
      </c>
      <c r="M90" s="24">
        <f>Raw!L91</f>
        <v>0</v>
      </c>
      <c r="N90" s="24">
        <f>Raw!M91</f>
        <v>0</v>
      </c>
      <c r="O90" s="24">
        <f>Raw!N91</f>
        <v>0</v>
      </c>
      <c r="P90" s="24">
        <f>Raw!O91</f>
        <v>0</v>
      </c>
      <c r="Q90" s="24" t="str">
        <f>Raw!P91</f>
        <v/>
      </c>
    </row>
    <row r="91" spans="1:17">
      <c r="A91" t="str">
        <f t="shared" si="1"/>
        <v>Tier2_indor2_HZ1_gfacDHWkwh</v>
      </c>
      <c r="B91" s="24" t="str">
        <f>Raw!A92</f>
        <v>Tier2_indor2_HZ1_gfac</v>
      </c>
      <c r="C91" s="24" t="str">
        <f>Raw!B92</f>
        <v>DHWkwh</v>
      </c>
      <c r="D91" s="163">
        <f>Raw!C92</f>
        <v>1316.0755011663753</v>
      </c>
      <c r="E91" s="24">
        <f>Raw!D92</f>
        <v>13</v>
      </c>
      <c r="F91" s="44">
        <f>Raw!E92*$B$4</f>
        <v>1908.0880618971839</v>
      </c>
      <c r="G91" s="24">
        <f>Raw!F92</f>
        <v>0</v>
      </c>
      <c r="H91" s="24" t="str">
        <f>Raw!G92</f>
        <v>ResDHW</v>
      </c>
      <c r="I91" s="24">
        <f>Raw!H92</f>
        <v>-6.0048589260144016</v>
      </c>
      <c r="J91" s="24">
        <f>Raw!I92</f>
        <v>0</v>
      </c>
      <c r="K91" s="24">
        <f>Raw!J92</f>
        <v>0</v>
      </c>
      <c r="L91" s="24">
        <f>Raw!K92</f>
        <v>0</v>
      </c>
      <c r="M91" s="24">
        <f>Raw!L92</f>
        <v>0</v>
      </c>
      <c r="N91" s="24">
        <f>Raw!M92</f>
        <v>0</v>
      </c>
      <c r="O91" s="24">
        <f>Raw!N92</f>
        <v>0</v>
      </c>
      <c r="P91" s="24">
        <f>Raw!O92</f>
        <v>0</v>
      </c>
      <c r="Q91" s="24" t="str">
        <f>Raw!P92</f>
        <v/>
      </c>
    </row>
    <row r="92" spans="1:17" ht="25.5">
      <c r="A92" t="str">
        <f t="shared" si="1"/>
        <v>Tier2_indor2_HZ1_gfacHeatkwh</v>
      </c>
      <c r="B92" s="24" t="str">
        <f>Raw!A93</f>
        <v>Tier2_indor2_HZ1_gfac</v>
      </c>
      <c r="C92" s="24" t="str">
        <f>Raw!B93</f>
        <v>Heatkwh</v>
      </c>
      <c r="D92" s="163">
        <f>Raw!C93</f>
        <v>-17.086068267406365</v>
      </c>
      <c r="E92" s="24">
        <f>Raw!D93</f>
        <v>13</v>
      </c>
      <c r="F92" s="44">
        <f>Raw!E93*$B$4</f>
        <v>0</v>
      </c>
      <c r="G92" s="24">
        <f>Raw!F93</f>
        <v>0</v>
      </c>
      <c r="H92" s="24" t="str">
        <f>Raw!G93</f>
        <v>ResSpHtFAFZ1</v>
      </c>
      <c r="I92" s="24">
        <f>Raw!H93</f>
        <v>-6.0048589260144016</v>
      </c>
      <c r="J92" s="24">
        <f>Raw!I93</f>
        <v>0</v>
      </c>
      <c r="K92" s="24">
        <f>Raw!J93</f>
        <v>0</v>
      </c>
      <c r="L92" s="24">
        <f>Raw!K93</f>
        <v>0</v>
      </c>
      <c r="M92" s="24">
        <f>Raw!L93</f>
        <v>0</v>
      </c>
      <c r="N92" s="24">
        <f>Raw!M93</f>
        <v>0</v>
      </c>
      <c r="O92" s="24">
        <f>Raw!N93</f>
        <v>0</v>
      </c>
      <c r="P92" s="24">
        <f>Raw!O93</f>
        <v>-23.33057251849884</v>
      </c>
      <c r="Q92" s="24" t="str">
        <f>Raw!P93</f>
        <v>ResSpHtFAFZ1</v>
      </c>
    </row>
    <row r="93" spans="1:17" ht="25.5">
      <c r="A93" t="str">
        <f t="shared" si="1"/>
        <v>Tier2_indor2_HZ1_gfacCoolkwh</v>
      </c>
      <c r="B93" s="24" t="str">
        <f>Raw!A94</f>
        <v>Tier2_indor2_HZ1_gfac</v>
      </c>
      <c r="C93" s="24" t="str">
        <f>Raw!B94</f>
        <v>Coolkwh</v>
      </c>
      <c r="D93" s="163">
        <f>Raw!C94</f>
        <v>24.260143064392583</v>
      </c>
      <c r="E93" s="24">
        <f>Raw!D94</f>
        <v>13</v>
      </c>
      <c r="F93" s="44">
        <f>Raw!E94*$B$4</f>
        <v>0</v>
      </c>
      <c r="G93" s="24">
        <f>Raw!F94</f>
        <v>0</v>
      </c>
      <c r="H93" s="24" t="str">
        <f>Raw!G94</f>
        <v>ResCACPNW</v>
      </c>
      <c r="I93" s="24">
        <f>Raw!H94</f>
        <v>-6.0048589260144016</v>
      </c>
      <c r="J93" s="24">
        <f>Raw!I94</f>
        <v>0</v>
      </c>
      <c r="K93" s="24">
        <f>Raw!J94</f>
        <v>0</v>
      </c>
      <c r="L93" s="24">
        <f>Raw!K94</f>
        <v>0</v>
      </c>
      <c r="M93" s="24">
        <f>Raw!L94</f>
        <v>0</v>
      </c>
      <c r="N93" s="24">
        <f>Raw!M94</f>
        <v>0</v>
      </c>
      <c r="O93" s="24">
        <f>Raw!N94</f>
        <v>0</v>
      </c>
      <c r="P93" s="24">
        <f>Raw!O94</f>
        <v>0</v>
      </c>
      <c r="Q93" s="24" t="str">
        <f>Raw!P94</f>
        <v/>
      </c>
    </row>
    <row r="94" spans="1:17">
      <c r="A94" t="str">
        <f t="shared" si="1"/>
        <v>Tier2_indor2_HZ1_efafDHWkwh</v>
      </c>
      <c r="B94" s="24" t="str">
        <f>Raw!A95</f>
        <v>Tier2_indor2_HZ1_efaf</v>
      </c>
      <c r="C94" s="24" t="str">
        <f>Raw!B95</f>
        <v>DHWkwh</v>
      </c>
      <c r="D94" s="163">
        <f>Raw!C95</f>
        <v>1324.0852438842967</v>
      </c>
      <c r="E94" s="24">
        <f>Raw!D95</f>
        <v>13</v>
      </c>
      <c r="F94" s="44">
        <f>Raw!E95*$B$4</f>
        <v>1908.0880618971839</v>
      </c>
      <c r="G94" s="24">
        <f>Raw!F95</f>
        <v>0</v>
      </c>
      <c r="H94" s="24" t="str">
        <f>Raw!G95</f>
        <v>ResDHW</v>
      </c>
      <c r="I94" s="24">
        <f>Raw!H95</f>
        <v>-4.1894909500755189</v>
      </c>
      <c r="J94" s="24">
        <f>Raw!I95</f>
        <v>0</v>
      </c>
      <c r="K94" s="24">
        <f>Raw!J95</f>
        <v>0</v>
      </c>
      <c r="L94" s="24">
        <f>Raw!K95</f>
        <v>0</v>
      </c>
      <c r="M94" s="24">
        <f>Raw!L95</f>
        <v>0</v>
      </c>
      <c r="N94" s="24">
        <f>Raw!M95</f>
        <v>0</v>
      </c>
      <c r="O94" s="24">
        <f>Raw!N95</f>
        <v>0</v>
      </c>
      <c r="P94" s="24">
        <f>Raw!O95</f>
        <v>0</v>
      </c>
      <c r="Q94" s="24" t="str">
        <f>Raw!P95</f>
        <v/>
      </c>
    </row>
    <row r="95" spans="1:17" ht="25.5">
      <c r="A95" t="str">
        <f t="shared" si="1"/>
        <v>Tier2_indor2_HZ1_efafHeatkwh</v>
      </c>
      <c r="B95" s="24" t="str">
        <f>Raw!A96</f>
        <v>Tier2_indor2_HZ1_efaf</v>
      </c>
      <c r="C95" s="24" t="str">
        <f>Raw!B96</f>
        <v>Heatkwh</v>
      </c>
      <c r="D95" s="163">
        <f>Raw!C96</f>
        <v>-412.63283865554803</v>
      </c>
      <c r="E95" s="24">
        <f>Raw!D96</f>
        <v>13</v>
      </c>
      <c r="F95" s="44">
        <f>Raw!E96*$B$4</f>
        <v>0</v>
      </c>
      <c r="G95" s="24">
        <f>Raw!F96</f>
        <v>0</v>
      </c>
      <c r="H95" s="24" t="str">
        <f>Raw!G96</f>
        <v>ResSpHtFAFZ1</v>
      </c>
      <c r="I95" s="24">
        <f>Raw!H96</f>
        <v>-4.1894909500755189</v>
      </c>
      <c r="J95" s="24">
        <f>Raw!I96</f>
        <v>0</v>
      </c>
      <c r="K95" s="24">
        <f>Raw!J96</f>
        <v>0</v>
      </c>
      <c r="L95" s="24">
        <f>Raw!K96</f>
        <v>0</v>
      </c>
      <c r="M95" s="24">
        <f>Raw!L96</f>
        <v>0</v>
      </c>
      <c r="N95" s="24">
        <f>Raw!M96</f>
        <v>0</v>
      </c>
      <c r="O95" s="24">
        <f>Raw!N96</f>
        <v>0</v>
      </c>
      <c r="P95" s="24">
        <f>Raw!O96</f>
        <v>-0.98243382669916823</v>
      </c>
      <c r="Q95" s="24" t="str">
        <f>Raw!P96</f>
        <v>ResSpHtFAFZ1</v>
      </c>
    </row>
    <row r="96" spans="1:17" ht="25.5">
      <c r="A96" t="str">
        <f t="shared" si="1"/>
        <v>Tier2_indor2_HZ1_efafCoolkwh</v>
      </c>
      <c r="B96" s="24" t="str">
        <f>Raw!A97</f>
        <v>Tier2_indor2_HZ1_efaf</v>
      </c>
      <c r="C96" s="24" t="str">
        <f>Raw!B97</f>
        <v>Coolkwh</v>
      </c>
      <c r="D96" s="163">
        <f>Raw!C97</f>
        <v>0</v>
      </c>
      <c r="E96" s="24">
        <f>Raw!D97</f>
        <v>13</v>
      </c>
      <c r="F96" s="44">
        <f>Raw!E97*$B$4</f>
        <v>0</v>
      </c>
      <c r="G96" s="24">
        <f>Raw!F97</f>
        <v>0</v>
      </c>
      <c r="H96" s="24" t="str">
        <f>Raw!G97</f>
        <v>ResCACPNW</v>
      </c>
      <c r="I96" s="24">
        <f>Raw!H97</f>
        <v>-4.1894909500755189</v>
      </c>
      <c r="J96" s="24">
        <f>Raw!I97</f>
        <v>0</v>
      </c>
      <c r="K96" s="24">
        <f>Raw!J97</f>
        <v>0</v>
      </c>
      <c r="L96" s="24">
        <f>Raw!K97</f>
        <v>0</v>
      </c>
      <c r="M96" s="24">
        <f>Raw!L97</f>
        <v>0</v>
      </c>
      <c r="N96" s="24">
        <f>Raw!M97</f>
        <v>0</v>
      </c>
      <c r="O96" s="24">
        <f>Raw!N97</f>
        <v>0</v>
      </c>
      <c r="P96" s="24">
        <f>Raw!O97</f>
        <v>0</v>
      </c>
      <c r="Q96" s="24" t="str">
        <f>Raw!P97</f>
        <v/>
      </c>
    </row>
    <row r="97" spans="1:17">
      <c r="A97" t="str">
        <f t="shared" si="1"/>
        <v>Tier2_indor2_HZ1_hp85DHWkwh</v>
      </c>
      <c r="B97" s="24" t="str">
        <f>Raw!A98</f>
        <v>Tier2_indor2_HZ1_hp85</v>
      </c>
      <c r="C97" s="24" t="str">
        <f>Raw!B98</f>
        <v>DHWkwh</v>
      </c>
      <c r="D97" s="163">
        <f>Raw!C98</f>
        <v>1316.0770064573082</v>
      </c>
      <c r="E97" s="24">
        <f>Raw!D98</f>
        <v>13</v>
      </c>
      <c r="F97" s="44">
        <f>Raw!E98*$B$4</f>
        <v>1908.0880618971839</v>
      </c>
      <c r="G97" s="24">
        <f>Raw!F98</f>
        <v>0</v>
      </c>
      <c r="H97" s="24" t="str">
        <f>Raw!G98</f>
        <v>ResDHW</v>
      </c>
      <c r="I97" s="24">
        <f>Raw!H98</f>
        <v>-2.0973053850110888</v>
      </c>
      <c r="J97" s="24">
        <f>Raw!I98</f>
        <v>0</v>
      </c>
      <c r="K97" s="24">
        <f>Raw!J98</f>
        <v>0</v>
      </c>
      <c r="L97" s="24">
        <f>Raw!K98</f>
        <v>0</v>
      </c>
      <c r="M97" s="24">
        <f>Raw!L98</f>
        <v>0</v>
      </c>
      <c r="N97" s="24">
        <f>Raw!M98</f>
        <v>0</v>
      </c>
      <c r="O97" s="24">
        <f>Raw!N98</f>
        <v>0</v>
      </c>
      <c r="P97" s="24">
        <f>Raw!O98</f>
        <v>0</v>
      </c>
      <c r="Q97" s="24" t="str">
        <f>Raw!P98</f>
        <v/>
      </c>
    </row>
    <row r="98" spans="1:17" ht="25.5">
      <c r="A98" t="str">
        <f t="shared" si="1"/>
        <v>Tier2_indor2_HZ1_hp85Heatkwh</v>
      </c>
      <c r="B98" s="24" t="str">
        <f>Raw!A99</f>
        <v>Tier2_indor2_HZ1_hp85</v>
      </c>
      <c r="C98" s="24" t="str">
        <f>Raw!B99</f>
        <v>Heatkwh</v>
      </c>
      <c r="D98" s="163">
        <f>Raw!C99</f>
        <v>-206.5685508949704</v>
      </c>
      <c r="E98" s="24">
        <f>Raw!D99</f>
        <v>13</v>
      </c>
      <c r="F98" s="44">
        <f>Raw!E99*$B$4</f>
        <v>0</v>
      </c>
      <c r="G98" s="24">
        <f>Raw!F99</f>
        <v>0</v>
      </c>
      <c r="H98" s="24" t="str">
        <f>Raw!G99</f>
        <v>ResSpHtHPZ1</v>
      </c>
      <c r="I98" s="24">
        <f>Raw!H99</f>
        <v>-2.0973053850110888</v>
      </c>
      <c r="J98" s="24">
        <f>Raw!I99</f>
        <v>0</v>
      </c>
      <c r="K98" s="24">
        <f>Raw!J99</f>
        <v>0</v>
      </c>
      <c r="L98" s="24">
        <f>Raw!K99</f>
        <v>0</v>
      </c>
      <c r="M98" s="24">
        <f>Raw!L99</f>
        <v>0</v>
      </c>
      <c r="N98" s="24">
        <f>Raw!M99</f>
        <v>0</v>
      </c>
      <c r="O98" s="24">
        <f>Raw!N99</f>
        <v>0</v>
      </c>
      <c r="P98" s="24">
        <f>Raw!O99</f>
        <v>-0.49181721113780535</v>
      </c>
      <c r="Q98" s="24" t="str">
        <f>Raw!P99</f>
        <v>ResSpHtHPZ1</v>
      </c>
    </row>
    <row r="99" spans="1:17" ht="25.5">
      <c r="A99" t="str">
        <f t="shared" si="1"/>
        <v>Tier2_indor2_HZ1_hp85Coolkwh</v>
      </c>
      <c r="B99" s="24" t="str">
        <f>Raw!A100</f>
        <v>Tier2_indor2_HZ1_hp85</v>
      </c>
      <c r="C99" s="24" t="str">
        <f>Raw!B100</f>
        <v>Coolkwh</v>
      </c>
      <c r="D99" s="163">
        <f>Raw!C100</f>
        <v>24.421893213472643</v>
      </c>
      <c r="E99" s="24">
        <f>Raw!D100</f>
        <v>13</v>
      </c>
      <c r="F99" s="44">
        <f>Raw!E100*$B$4</f>
        <v>0</v>
      </c>
      <c r="G99" s="24">
        <f>Raw!F100</f>
        <v>0</v>
      </c>
      <c r="H99" s="24" t="str">
        <f>Raw!G100</f>
        <v>ResCACPNW</v>
      </c>
      <c r="I99" s="24">
        <f>Raw!H100</f>
        <v>-2.0973053850110888</v>
      </c>
      <c r="J99" s="24">
        <f>Raw!I100</f>
        <v>0</v>
      </c>
      <c r="K99" s="24">
        <f>Raw!J100</f>
        <v>0</v>
      </c>
      <c r="L99" s="24">
        <f>Raw!K100</f>
        <v>0</v>
      </c>
      <c r="M99" s="24">
        <f>Raw!L100</f>
        <v>0</v>
      </c>
      <c r="N99" s="24">
        <f>Raw!M100</f>
        <v>0</v>
      </c>
      <c r="O99" s="24">
        <f>Raw!N100</f>
        <v>0</v>
      </c>
      <c r="P99" s="24">
        <f>Raw!O100</f>
        <v>0</v>
      </c>
      <c r="Q99" s="24" t="str">
        <f>Raw!P100</f>
        <v/>
      </c>
    </row>
    <row r="100" spans="1:17">
      <c r="A100" t="str">
        <f t="shared" si="1"/>
        <v>Tier2_indor2_HZ1_zonlDHWkwh</v>
      </c>
      <c r="B100" s="24" t="str">
        <f>Raw!A101</f>
        <v>Tier2_indor2_HZ1_zonl</v>
      </c>
      <c r="C100" s="24" t="str">
        <f>Raw!B101</f>
        <v>DHWkwh</v>
      </c>
      <c r="D100" s="163">
        <f>Raw!C101</f>
        <v>1324.0383153223725</v>
      </c>
      <c r="E100" s="24">
        <f>Raw!D101</f>
        <v>13</v>
      </c>
      <c r="F100" s="44">
        <f>Raw!E101*$B$4</f>
        <v>1908.0880618971839</v>
      </c>
      <c r="G100" s="24">
        <f>Raw!F101</f>
        <v>0</v>
      </c>
      <c r="H100" s="24" t="str">
        <f>Raw!G101</f>
        <v>ResDHW</v>
      </c>
      <c r="I100" s="24">
        <f>Raw!H101</f>
        <v>-3.7370993889199546</v>
      </c>
      <c r="J100" s="24">
        <f>Raw!I101</f>
        <v>0</v>
      </c>
      <c r="K100" s="24">
        <f>Raw!J101</f>
        <v>0</v>
      </c>
      <c r="L100" s="24">
        <f>Raw!K101</f>
        <v>0</v>
      </c>
      <c r="M100" s="24">
        <f>Raw!L101</f>
        <v>0</v>
      </c>
      <c r="N100" s="24">
        <f>Raw!M101</f>
        <v>0</v>
      </c>
      <c r="O100" s="24">
        <f>Raw!N101</f>
        <v>0</v>
      </c>
      <c r="P100" s="24">
        <f>Raw!O101</f>
        <v>0</v>
      </c>
      <c r="Q100" s="24" t="str">
        <f>Raw!P101</f>
        <v/>
      </c>
    </row>
    <row r="101" spans="1:17" ht="25.5">
      <c r="A101" t="str">
        <f t="shared" si="1"/>
        <v>Tier2_indor2_HZ1_zonlHeatkwh</v>
      </c>
      <c r="B101" s="24" t="str">
        <f>Raw!A102</f>
        <v>Tier2_indor2_HZ1_zonl</v>
      </c>
      <c r="C101" s="24" t="str">
        <f>Raw!B102</f>
        <v>Heatkwh</v>
      </c>
      <c r="D101" s="163">
        <f>Raw!C102</f>
        <v>-368.07572747236946</v>
      </c>
      <c r="E101" s="24">
        <f>Raw!D102</f>
        <v>13</v>
      </c>
      <c r="F101" s="44">
        <f>Raw!E102*$B$4</f>
        <v>0</v>
      </c>
      <c r="G101" s="24">
        <f>Raw!F102</f>
        <v>0</v>
      </c>
      <c r="H101" s="24" t="str">
        <f>Raw!G102</f>
        <v>ResSpHtBBZ1</v>
      </c>
      <c r="I101" s="24">
        <f>Raw!H102</f>
        <v>-3.7370993889199546</v>
      </c>
      <c r="J101" s="24">
        <f>Raw!I102</f>
        <v>0</v>
      </c>
      <c r="K101" s="24">
        <f>Raw!J102</f>
        <v>0</v>
      </c>
      <c r="L101" s="24">
        <f>Raw!K102</f>
        <v>0</v>
      </c>
      <c r="M101" s="24">
        <f>Raw!L102</f>
        <v>0</v>
      </c>
      <c r="N101" s="24">
        <f>Raw!M102</f>
        <v>0</v>
      </c>
      <c r="O101" s="24">
        <f>Raw!N102</f>
        <v>0</v>
      </c>
      <c r="P101" s="24">
        <f>Raw!O102</f>
        <v>-0.87634820009470937</v>
      </c>
      <c r="Q101" s="24" t="str">
        <f>Raw!P102</f>
        <v>ResSpHtBBZ1</v>
      </c>
    </row>
    <row r="102" spans="1:17" ht="25.5">
      <c r="A102" t="str">
        <f t="shared" si="1"/>
        <v>Tier2_indor2_HZ1_zonlCoolkwh</v>
      </c>
      <c r="B102" s="24" t="str">
        <f>Raw!A103</f>
        <v>Tier2_indor2_HZ1_zonl</v>
      </c>
      <c r="C102" s="24" t="str">
        <f>Raw!B103</f>
        <v>Coolkwh</v>
      </c>
      <c r="D102" s="163">
        <f>Raw!C103</f>
        <v>0</v>
      </c>
      <c r="E102" s="24">
        <f>Raw!D103</f>
        <v>13</v>
      </c>
      <c r="F102" s="44">
        <f>Raw!E103*$B$4</f>
        <v>0</v>
      </c>
      <c r="G102" s="24">
        <f>Raw!F103</f>
        <v>0</v>
      </c>
      <c r="H102" s="24" t="str">
        <f>Raw!G103</f>
        <v>ResCACPNW</v>
      </c>
      <c r="I102" s="24">
        <f>Raw!H103</f>
        <v>-3.7370993889199546</v>
      </c>
      <c r="J102" s="24">
        <f>Raw!I103</f>
        <v>0</v>
      </c>
      <c r="K102" s="24">
        <f>Raw!J103</f>
        <v>0</v>
      </c>
      <c r="L102" s="24">
        <f>Raw!K103</f>
        <v>0</v>
      </c>
      <c r="M102" s="24">
        <f>Raw!L103</f>
        <v>0</v>
      </c>
      <c r="N102" s="24">
        <f>Raw!M103</f>
        <v>0</v>
      </c>
      <c r="O102" s="24">
        <f>Raw!N103</f>
        <v>0</v>
      </c>
      <c r="P102" s="24">
        <f>Raw!O103</f>
        <v>0</v>
      </c>
      <c r="Q102" s="24" t="str">
        <f>Raw!P103</f>
        <v/>
      </c>
    </row>
    <row r="103" spans="1:17">
      <c r="A103" t="str">
        <f t="shared" si="1"/>
        <v>Tier2_indor2_HZ2_gfncDHWkwh</v>
      </c>
      <c r="B103" s="24" t="str">
        <f>Raw!A104</f>
        <v>Tier2_indor2_HZ2_gfnc</v>
      </c>
      <c r="C103" s="24" t="str">
        <f>Raw!B104</f>
        <v>DHWkwh</v>
      </c>
      <c r="D103" s="163">
        <f>Raw!C104</f>
        <v>1391.0336357633525</v>
      </c>
      <c r="E103" s="24">
        <f>Raw!D104</f>
        <v>13</v>
      </c>
      <c r="F103" s="44">
        <f>Raw!E104*$B$4</f>
        <v>1908.0880618971839</v>
      </c>
      <c r="G103" s="24">
        <f>Raw!F104</f>
        <v>0</v>
      </c>
      <c r="H103" s="24" t="str">
        <f>Raw!G104</f>
        <v>ResDHW</v>
      </c>
      <c r="I103" s="24">
        <f>Raw!H104</f>
        <v>-5.4440304673790685</v>
      </c>
      <c r="J103" s="24">
        <f>Raw!I104</f>
        <v>0</v>
      </c>
      <c r="K103" s="24">
        <f>Raw!J104</f>
        <v>0</v>
      </c>
      <c r="L103" s="24">
        <f>Raw!K104</f>
        <v>0</v>
      </c>
      <c r="M103" s="24">
        <f>Raw!L104</f>
        <v>0</v>
      </c>
      <c r="N103" s="24">
        <f>Raw!M104</f>
        <v>0</v>
      </c>
      <c r="O103" s="24">
        <f>Raw!N104</f>
        <v>0</v>
      </c>
      <c r="P103" s="24">
        <f>Raw!O104</f>
        <v>0</v>
      </c>
      <c r="Q103" s="24" t="str">
        <f>Raw!P104</f>
        <v/>
      </c>
    </row>
    <row r="104" spans="1:17" ht="25.5">
      <c r="A104" t="str">
        <f t="shared" si="1"/>
        <v>Tier2_indor2_HZ2_gfncHeatkwh</v>
      </c>
      <c r="B104" s="24" t="str">
        <f>Raw!A105</f>
        <v>Tier2_indor2_HZ2_gfnc</v>
      </c>
      <c r="C104" s="24" t="str">
        <f>Raw!B105</f>
        <v>Heatkwh</v>
      </c>
      <c r="D104" s="163">
        <f>Raw!C105</f>
        <v>-15.062666342738595</v>
      </c>
      <c r="E104" s="24">
        <f>Raw!D105</f>
        <v>13</v>
      </c>
      <c r="F104" s="44">
        <f>Raw!E105*$B$4</f>
        <v>0</v>
      </c>
      <c r="G104" s="24">
        <f>Raw!F105</f>
        <v>0</v>
      </c>
      <c r="H104" s="24" t="str">
        <f>Raw!G105</f>
        <v>ResSpHtFAFZ2</v>
      </c>
      <c r="I104" s="24">
        <f>Raw!H105</f>
        <v>-5.4440304673790685</v>
      </c>
      <c r="J104" s="24">
        <f>Raw!I105</f>
        <v>0</v>
      </c>
      <c r="K104" s="24">
        <f>Raw!J105</f>
        <v>0</v>
      </c>
      <c r="L104" s="24">
        <f>Raw!K105</f>
        <v>0</v>
      </c>
      <c r="M104" s="24">
        <f>Raw!L105</f>
        <v>0</v>
      </c>
      <c r="N104" s="24">
        <f>Raw!M105</f>
        <v>0</v>
      </c>
      <c r="O104" s="24">
        <f>Raw!N105</f>
        <v>0</v>
      </c>
      <c r="P104" s="24">
        <f>Raw!O105</f>
        <v>-20.737905959487712</v>
      </c>
      <c r="Q104" s="24" t="str">
        <f>Raw!P105</f>
        <v>ResSpHtFAFZ2</v>
      </c>
    </row>
    <row r="105" spans="1:17" ht="25.5">
      <c r="A105" t="str">
        <f t="shared" si="1"/>
        <v>Tier2_indor2_HZ2_gfncCoolkwh</v>
      </c>
      <c r="B105" s="24" t="str">
        <f>Raw!A106</f>
        <v>Tier2_indor2_HZ2_gfnc</v>
      </c>
      <c r="C105" s="24" t="str">
        <f>Raw!B106</f>
        <v>Coolkwh</v>
      </c>
      <c r="D105" s="163">
        <f>Raw!C106</f>
        <v>0</v>
      </c>
      <c r="E105" s="24">
        <f>Raw!D106</f>
        <v>13</v>
      </c>
      <c r="F105" s="44">
        <f>Raw!E106*$B$4</f>
        <v>0</v>
      </c>
      <c r="G105" s="24">
        <f>Raw!F106</f>
        <v>0</v>
      </c>
      <c r="H105" s="24" t="str">
        <f>Raw!G106</f>
        <v>ResCACPNW</v>
      </c>
      <c r="I105" s="24">
        <f>Raw!H106</f>
        <v>-5.4440304673790685</v>
      </c>
      <c r="J105" s="24">
        <f>Raw!I106</f>
        <v>0</v>
      </c>
      <c r="K105" s="24">
        <f>Raw!J106</f>
        <v>0</v>
      </c>
      <c r="L105" s="24">
        <f>Raw!K106</f>
        <v>0</v>
      </c>
      <c r="M105" s="24">
        <f>Raw!L106</f>
        <v>0</v>
      </c>
      <c r="N105" s="24">
        <f>Raw!M106</f>
        <v>0</v>
      </c>
      <c r="O105" s="24">
        <f>Raw!N106</f>
        <v>0</v>
      </c>
      <c r="P105" s="24">
        <f>Raw!O106</f>
        <v>0</v>
      </c>
      <c r="Q105" s="24" t="str">
        <f>Raw!P106</f>
        <v/>
      </c>
    </row>
    <row r="106" spans="1:17">
      <c r="A106" t="str">
        <f t="shared" si="1"/>
        <v>Tier2_indor2_HZ2_gfacDHWkwh</v>
      </c>
      <c r="B106" s="24" t="str">
        <f>Raw!A107</f>
        <v>Tier2_indor2_HZ2_gfac</v>
      </c>
      <c r="C106" s="24" t="str">
        <f>Raw!B107</f>
        <v>DHWkwh</v>
      </c>
      <c r="D106" s="163">
        <f>Raw!C107</f>
        <v>1380.3276519840069</v>
      </c>
      <c r="E106" s="24">
        <f>Raw!D107</f>
        <v>13</v>
      </c>
      <c r="F106" s="44">
        <f>Raw!E107*$B$4</f>
        <v>1908.0880618971839</v>
      </c>
      <c r="G106" s="24">
        <f>Raw!F107</f>
        <v>0</v>
      </c>
      <c r="H106" s="24" t="str">
        <f>Raw!G107</f>
        <v>ResDHW</v>
      </c>
      <c r="I106" s="24">
        <f>Raw!H107</f>
        <v>-5.5228967840556029</v>
      </c>
      <c r="J106" s="24">
        <f>Raw!I107</f>
        <v>0</v>
      </c>
      <c r="K106" s="24">
        <f>Raw!J107</f>
        <v>0</v>
      </c>
      <c r="L106" s="24">
        <f>Raw!K107</f>
        <v>0</v>
      </c>
      <c r="M106" s="24">
        <f>Raw!L107</f>
        <v>0</v>
      </c>
      <c r="N106" s="24">
        <f>Raw!M107</f>
        <v>0</v>
      </c>
      <c r="O106" s="24">
        <f>Raw!N107</f>
        <v>0</v>
      </c>
      <c r="P106" s="24">
        <f>Raw!O107</f>
        <v>0</v>
      </c>
      <c r="Q106" s="24" t="str">
        <f>Raw!P107</f>
        <v/>
      </c>
    </row>
    <row r="107" spans="1:17" ht="25.5">
      <c r="A107" t="str">
        <f t="shared" si="1"/>
        <v>Tier2_indor2_HZ2_gfacHeatkwh</v>
      </c>
      <c r="B107" s="24" t="str">
        <f>Raw!A108</f>
        <v>Tier2_indor2_HZ2_gfac</v>
      </c>
      <c r="C107" s="24" t="str">
        <f>Raw!B108</f>
        <v>Heatkwh</v>
      </c>
      <c r="D107" s="163">
        <f>Raw!C108</f>
        <v>-15.987874815959577</v>
      </c>
      <c r="E107" s="24">
        <f>Raw!D108</f>
        <v>13</v>
      </c>
      <c r="F107" s="44">
        <f>Raw!E108*$B$4</f>
        <v>0</v>
      </c>
      <c r="G107" s="24">
        <f>Raw!F108</f>
        <v>0</v>
      </c>
      <c r="H107" s="24" t="str">
        <f>Raw!G108</f>
        <v>ResSpHtFAFZ2</v>
      </c>
      <c r="I107" s="24">
        <f>Raw!H108</f>
        <v>-5.5228967840556029</v>
      </c>
      <c r="J107" s="24">
        <f>Raw!I108</f>
        <v>0</v>
      </c>
      <c r="K107" s="24">
        <f>Raw!J108</f>
        <v>0</v>
      </c>
      <c r="L107" s="24">
        <f>Raw!K108</f>
        <v>0</v>
      </c>
      <c r="M107" s="24">
        <f>Raw!L108</f>
        <v>0</v>
      </c>
      <c r="N107" s="24">
        <f>Raw!M108</f>
        <v>0</v>
      </c>
      <c r="O107" s="24">
        <f>Raw!N108</f>
        <v>0</v>
      </c>
      <c r="P107" s="24">
        <f>Raw!O108</f>
        <v>-21.011255008342282</v>
      </c>
      <c r="Q107" s="24" t="str">
        <f>Raw!P108</f>
        <v>ResSpHtFAFZ2</v>
      </c>
    </row>
    <row r="108" spans="1:17" ht="25.5">
      <c r="A108" t="str">
        <f t="shared" si="1"/>
        <v>Tier2_indor2_HZ2_gfacCoolkwh</v>
      </c>
      <c r="B108" s="24" t="str">
        <f>Raw!A109</f>
        <v>Tier2_indor2_HZ2_gfac</v>
      </c>
      <c r="C108" s="24" t="str">
        <f>Raw!B109</f>
        <v>Coolkwh</v>
      </c>
      <c r="D108" s="163">
        <f>Raw!C109</f>
        <v>28.6847888478184</v>
      </c>
      <c r="E108" s="24">
        <f>Raw!D109</f>
        <v>13</v>
      </c>
      <c r="F108" s="44">
        <f>Raw!E109*$B$4</f>
        <v>0</v>
      </c>
      <c r="G108" s="24">
        <f>Raw!F109</f>
        <v>0</v>
      </c>
      <c r="H108" s="24" t="str">
        <f>Raw!G109</f>
        <v>ResCACPNW</v>
      </c>
      <c r="I108" s="24">
        <f>Raw!H109</f>
        <v>-5.5228967840556029</v>
      </c>
      <c r="J108" s="24">
        <f>Raw!I109</f>
        <v>0</v>
      </c>
      <c r="K108" s="24">
        <f>Raw!J109</f>
        <v>0</v>
      </c>
      <c r="L108" s="24">
        <f>Raw!K109</f>
        <v>0</v>
      </c>
      <c r="M108" s="24">
        <f>Raw!L109</f>
        <v>0</v>
      </c>
      <c r="N108" s="24">
        <f>Raw!M109</f>
        <v>0</v>
      </c>
      <c r="O108" s="24">
        <f>Raw!N109</f>
        <v>0</v>
      </c>
      <c r="P108" s="24">
        <f>Raw!O109</f>
        <v>0</v>
      </c>
      <c r="Q108" s="24" t="str">
        <f>Raw!P109</f>
        <v/>
      </c>
    </row>
    <row r="109" spans="1:17">
      <c r="A109" t="str">
        <f t="shared" si="1"/>
        <v>Tier2_indor2_HZ2_efafDHWkwh</v>
      </c>
      <c r="B109" s="24" t="str">
        <f>Raw!A110</f>
        <v>Tier2_indor2_HZ2_efaf</v>
      </c>
      <c r="C109" s="24" t="str">
        <f>Raw!B110</f>
        <v>DHWkwh</v>
      </c>
      <c r="D109" s="163">
        <f>Raw!C110</f>
        <v>1391.0336357633525</v>
      </c>
      <c r="E109" s="24">
        <f>Raw!D110</f>
        <v>13</v>
      </c>
      <c r="F109" s="44">
        <f>Raw!E110*$B$4</f>
        <v>1908.0880618971839</v>
      </c>
      <c r="G109" s="24">
        <f>Raw!F110</f>
        <v>0</v>
      </c>
      <c r="H109" s="24" t="str">
        <f>Raw!G110</f>
        <v>ResDHW</v>
      </c>
      <c r="I109" s="24">
        <f>Raw!H110</f>
        <v>-3.8418884745265709</v>
      </c>
      <c r="J109" s="24">
        <f>Raw!I110</f>
        <v>0</v>
      </c>
      <c r="K109" s="24">
        <f>Raw!J110</f>
        <v>0</v>
      </c>
      <c r="L109" s="24">
        <f>Raw!K110</f>
        <v>0</v>
      </c>
      <c r="M109" s="24">
        <f>Raw!L110</f>
        <v>0</v>
      </c>
      <c r="N109" s="24">
        <f>Raw!M110</f>
        <v>0</v>
      </c>
      <c r="O109" s="24">
        <f>Raw!N110</f>
        <v>0</v>
      </c>
      <c r="P109" s="24">
        <f>Raw!O110</f>
        <v>0</v>
      </c>
      <c r="Q109" s="24" t="str">
        <f>Raw!P110</f>
        <v/>
      </c>
    </row>
    <row r="110" spans="1:17" ht="25.5">
      <c r="A110" t="str">
        <f t="shared" si="1"/>
        <v>Tier2_indor2_HZ2_efafHeatkwh</v>
      </c>
      <c r="B110" s="24" t="str">
        <f>Raw!A111</f>
        <v>Tier2_indor2_HZ2_efaf</v>
      </c>
      <c r="C110" s="24" t="str">
        <f>Raw!B111</f>
        <v>Heatkwh</v>
      </c>
      <c r="D110" s="163">
        <f>Raw!C111</f>
        <v>-385.22603710083416</v>
      </c>
      <c r="E110" s="24">
        <f>Raw!D111</f>
        <v>13</v>
      </c>
      <c r="F110" s="44">
        <f>Raw!E111*$B$4</f>
        <v>0</v>
      </c>
      <c r="G110" s="24">
        <f>Raw!F111</f>
        <v>0</v>
      </c>
      <c r="H110" s="24" t="str">
        <f>Raw!G111</f>
        <v>ResSpHtFAFZ2</v>
      </c>
      <c r="I110" s="24">
        <f>Raw!H111</f>
        <v>-3.8418884745265709</v>
      </c>
      <c r="J110" s="24">
        <f>Raw!I111</f>
        <v>0</v>
      </c>
      <c r="K110" s="24">
        <f>Raw!J111</f>
        <v>0</v>
      </c>
      <c r="L110" s="24">
        <f>Raw!K111</f>
        <v>0</v>
      </c>
      <c r="M110" s="24">
        <f>Raw!L111</f>
        <v>0</v>
      </c>
      <c r="N110" s="24">
        <f>Raw!M111</f>
        <v>0</v>
      </c>
      <c r="O110" s="24">
        <f>Raw!N111</f>
        <v>0</v>
      </c>
      <c r="P110" s="24">
        <f>Raw!O111</f>
        <v>-0.2890266596300195</v>
      </c>
      <c r="Q110" s="24" t="str">
        <f>Raw!P111</f>
        <v>ResSpHtFAFZ2</v>
      </c>
    </row>
    <row r="111" spans="1:17" ht="25.5">
      <c r="A111" t="str">
        <f t="shared" si="1"/>
        <v>Tier2_indor2_HZ2_efafCoolkwh</v>
      </c>
      <c r="B111" s="24" t="str">
        <f>Raw!A112</f>
        <v>Tier2_indor2_HZ2_efaf</v>
      </c>
      <c r="C111" s="24" t="str">
        <f>Raw!B112</f>
        <v>Coolkwh</v>
      </c>
      <c r="D111" s="163">
        <f>Raw!C112</f>
        <v>0</v>
      </c>
      <c r="E111" s="24">
        <f>Raw!D112</f>
        <v>13</v>
      </c>
      <c r="F111" s="44">
        <f>Raw!E112*$B$4</f>
        <v>0</v>
      </c>
      <c r="G111" s="24">
        <f>Raw!F112</f>
        <v>0</v>
      </c>
      <c r="H111" s="24" t="str">
        <f>Raw!G112</f>
        <v>ResCACPNW</v>
      </c>
      <c r="I111" s="24">
        <f>Raw!H112</f>
        <v>-3.8418884745265709</v>
      </c>
      <c r="J111" s="24">
        <f>Raw!I112</f>
        <v>0</v>
      </c>
      <c r="K111" s="24">
        <f>Raw!J112</f>
        <v>0</v>
      </c>
      <c r="L111" s="24">
        <f>Raw!K112</f>
        <v>0</v>
      </c>
      <c r="M111" s="24">
        <f>Raw!L112</f>
        <v>0</v>
      </c>
      <c r="N111" s="24">
        <f>Raw!M112</f>
        <v>0</v>
      </c>
      <c r="O111" s="24">
        <f>Raw!N112</f>
        <v>0</v>
      </c>
      <c r="P111" s="24">
        <f>Raw!O112</f>
        <v>0</v>
      </c>
      <c r="Q111" s="24" t="str">
        <f>Raw!P112</f>
        <v/>
      </c>
    </row>
    <row r="112" spans="1:17">
      <c r="A112" t="str">
        <f t="shared" si="1"/>
        <v>Tier2_indor2_HZ2_hp85DHWkwh</v>
      </c>
      <c r="B112" s="24" t="str">
        <f>Raw!A113</f>
        <v>Tier2_indor2_HZ2_hp85</v>
      </c>
      <c r="C112" s="24" t="str">
        <f>Raw!B113</f>
        <v>DHWkwh</v>
      </c>
      <c r="D112" s="163">
        <f>Raw!C113</f>
        <v>1380.3591529043192</v>
      </c>
      <c r="E112" s="24">
        <f>Raw!D113</f>
        <v>13</v>
      </c>
      <c r="F112" s="44">
        <f>Raw!E113*$B$4</f>
        <v>1908.0880618971839</v>
      </c>
      <c r="G112" s="24">
        <f>Raw!F113</f>
        <v>0</v>
      </c>
      <c r="H112" s="24" t="str">
        <f>Raw!G113</f>
        <v>ResDHW</v>
      </c>
      <c r="I112" s="24">
        <f>Raw!H113</f>
        <v>-2.5228089325470129</v>
      </c>
      <c r="J112" s="24">
        <f>Raw!I113</f>
        <v>0</v>
      </c>
      <c r="K112" s="24">
        <f>Raw!J113</f>
        <v>0</v>
      </c>
      <c r="L112" s="24">
        <f>Raw!K113</f>
        <v>0</v>
      </c>
      <c r="M112" s="24">
        <f>Raw!L113</f>
        <v>0</v>
      </c>
      <c r="N112" s="24">
        <f>Raw!M113</f>
        <v>0</v>
      </c>
      <c r="O112" s="24">
        <f>Raw!N113</f>
        <v>0</v>
      </c>
      <c r="P112" s="24">
        <f>Raw!O113</f>
        <v>0</v>
      </c>
      <c r="Q112" s="24" t="str">
        <f>Raw!P113</f>
        <v/>
      </c>
    </row>
    <row r="113" spans="1:17" ht="25.5">
      <c r="A113" t="str">
        <f t="shared" si="1"/>
        <v>Tier2_indor2_HZ2_hp85Heatkwh</v>
      </c>
      <c r="B113" s="24" t="str">
        <f>Raw!A114</f>
        <v>Tier2_indor2_HZ2_hp85</v>
      </c>
      <c r="C113" s="24" t="str">
        <f>Raw!B114</f>
        <v>Heatkwh</v>
      </c>
      <c r="D113" s="163">
        <f>Raw!C114</f>
        <v>-252.96197270990055</v>
      </c>
      <c r="E113" s="24">
        <f>Raw!D114</f>
        <v>13</v>
      </c>
      <c r="F113" s="44">
        <f>Raw!E114*$B$4</f>
        <v>0</v>
      </c>
      <c r="G113" s="24">
        <f>Raw!F114</f>
        <v>0</v>
      </c>
      <c r="H113" s="24" t="str">
        <f>Raw!G114</f>
        <v>ResSpHtHPZ2</v>
      </c>
      <c r="I113" s="24">
        <f>Raw!H114</f>
        <v>-2.5228089325470129</v>
      </c>
      <c r="J113" s="24">
        <f>Raw!I114</f>
        <v>0</v>
      </c>
      <c r="K113" s="24">
        <f>Raw!J114</f>
        <v>0</v>
      </c>
      <c r="L113" s="24">
        <f>Raw!K114</f>
        <v>0</v>
      </c>
      <c r="M113" s="24">
        <f>Raw!L114</f>
        <v>0</v>
      </c>
      <c r="N113" s="24">
        <f>Raw!M114</f>
        <v>0</v>
      </c>
      <c r="O113" s="24">
        <f>Raw!N114</f>
        <v>0</v>
      </c>
      <c r="P113" s="24">
        <f>Raw!O114</f>
        <v>-0.18979182854824836</v>
      </c>
      <c r="Q113" s="24" t="str">
        <f>Raw!P114</f>
        <v>ResSpHtHPZ2</v>
      </c>
    </row>
    <row r="114" spans="1:17" ht="25.5">
      <c r="A114" t="str">
        <f t="shared" si="1"/>
        <v>Tier2_indor2_HZ2_hp85Coolkwh</v>
      </c>
      <c r="B114" s="24" t="str">
        <f>Raw!A115</f>
        <v>Tier2_indor2_HZ2_hp85</v>
      </c>
      <c r="C114" s="24" t="str">
        <f>Raw!B115</f>
        <v>Coolkwh</v>
      </c>
      <c r="D114" s="163">
        <f>Raw!C115</f>
        <v>28.872396664052179</v>
      </c>
      <c r="E114" s="24">
        <f>Raw!D115</f>
        <v>13</v>
      </c>
      <c r="F114" s="44">
        <f>Raw!E115*$B$4</f>
        <v>0</v>
      </c>
      <c r="G114" s="24">
        <f>Raw!F115</f>
        <v>0</v>
      </c>
      <c r="H114" s="24" t="str">
        <f>Raw!G115</f>
        <v>ResCACPNW</v>
      </c>
      <c r="I114" s="24">
        <f>Raw!H115</f>
        <v>-2.5228089325470129</v>
      </c>
      <c r="J114" s="24">
        <f>Raw!I115</f>
        <v>0</v>
      </c>
      <c r="K114" s="24">
        <f>Raw!J115</f>
        <v>0</v>
      </c>
      <c r="L114" s="24">
        <f>Raw!K115</f>
        <v>0</v>
      </c>
      <c r="M114" s="24">
        <f>Raw!L115</f>
        <v>0</v>
      </c>
      <c r="N114" s="24">
        <f>Raw!M115</f>
        <v>0</v>
      </c>
      <c r="O114" s="24">
        <f>Raw!N115</f>
        <v>0</v>
      </c>
      <c r="P114" s="24">
        <f>Raw!O115</f>
        <v>0</v>
      </c>
      <c r="Q114" s="24" t="str">
        <f>Raw!P115</f>
        <v/>
      </c>
    </row>
    <row r="115" spans="1:17">
      <c r="A115" t="str">
        <f t="shared" si="1"/>
        <v>Tier2_indor2_HZ2_zonlDHWkwh</v>
      </c>
      <c r="B115" s="24" t="str">
        <f>Raw!A116</f>
        <v>Tier2_indor2_HZ2_zonl</v>
      </c>
      <c r="C115" s="24" t="str">
        <f>Raw!B116</f>
        <v>DHWkwh</v>
      </c>
      <c r="D115" s="163">
        <f>Raw!C116</f>
        <v>1390.9229293709941</v>
      </c>
      <c r="E115" s="24">
        <f>Raw!D116</f>
        <v>13</v>
      </c>
      <c r="F115" s="44">
        <f>Raw!E116*$B$4</f>
        <v>1908.0880618971839</v>
      </c>
      <c r="G115" s="24">
        <f>Raw!F116</f>
        <v>0</v>
      </c>
      <c r="H115" s="24" t="str">
        <f>Raw!G116</f>
        <v>ResDHW</v>
      </c>
      <c r="I115" s="24">
        <f>Raw!H116</f>
        <v>-3.4129491992416567</v>
      </c>
      <c r="J115" s="24">
        <f>Raw!I116</f>
        <v>0</v>
      </c>
      <c r="K115" s="24">
        <f>Raw!J116</f>
        <v>0</v>
      </c>
      <c r="L115" s="24">
        <f>Raw!K116</f>
        <v>0</v>
      </c>
      <c r="M115" s="24">
        <f>Raw!L116</f>
        <v>0</v>
      </c>
      <c r="N115" s="24">
        <f>Raw!M116</f>
        <v>0</v>
      </c>
      <c r="O115" s="24">
        <f>Raw!N116</f>
        <v>0</v>
      </c>
      <c r="P115" s="24">
        <f>Raw!O116</f>
        <v>0</v>
      </c>
      <c r="Q115" s="24" t="str">
        <f>Raw!P116</f>
        <v/>
      </c>
    </row>
    <row r="116" spans="1:17" ht="25.5">
      <c r="A116" t="str">
        <f t="shared" si="1"/>
        <v>Tier2_indor2_HZ2_zonlHeatkwh</v>
      </c>
      <c r="B116" s="24" t="str">
        <f>Raw!A117</f>
        <v>Tier2_indor2_HZ2_zonl</v>
      </c>
      <c r="C116" s="24" t="str">
        <f>Raw!B117</f>
        <v>Heatkwh</v>
      </c>
      <c r="D116" s="163">
        <f>Raw!C117</f>
        <v>-342.2163093925688</v>
      </c>
      <c r="E116" s="24">
        <f>Raw!D117</f>
        <v>13</v>
      </c>
      <c r="F116" s="44">
        <f>Raw!E117*$B$4</f>
        <v>0</v>
      </c>
      <c r="G116" s="24">
        <f>Raw!F117</f>
        <v>0</v>
      </c>
      <c r="H116" s="24" t="str">
        <f>Raw!G117</f>
        <v>ResSpHtBBZ2</v>
      </c>
      <c r="I116" s="24">
        <f>Raw!H117</f>
        <v>-3.4129491992416567</v>
      </c>
      <c r="J116" s="24">
        <f>Raw!I117</f>
        <v>0</v>
      </c>
      <c r="K116" s="24">
        <f>Raw!J117</f>
        <v>0</v>
      </c>
      <c r="L116" s="24">
        <f>Raw!K117</f>
        <v>0</v>
      </c>
      <c r="M116" s="24">
        <f>Raw!L117</f>
        <v>0</v>
      </c>
      <c r="N116" s="24">
        <f>Raw!M117</f>
        <v>0</v>
      </c>
      <c r="O116" s="24">
        <f>Raw!N117</f>
        <v>0</v>
      </c>
      <c r="P116" s="24">
        <f>Raw!O117</f>
        <v>-0.25675740279403153</v>
      </c>
      <c r="Q116" s="24" t="str">
        <f>Raw!P117</f>
        <v>ResSpHtBBZ2</v>
      </c>
    </row>
    <row r="117" spans="1:17" ht="25.5">
      <c r="A117" t="str">
        <f t="shared" si="1"/>
        <v>Tier2_indor2_HZ2_zonlCoolkwh</v>
      </c>
      <c r="B117" s="24" t="str">
        <f>Raw!A118</f>
        <v>Tier2_indor2_HZ2_zonl</v>
      </c>
      <c r="C117" s="24" t="str">
        <f>Raw!B118</f>
        <v>Coolkwh</v>
      </c>
      <c r="D117" s="163">
        <f>Raw!C118</f>
        <v>0</v>
      </c>
      <c r="E117" s="24">
        <f>Raw!D118</f>
        <v>13</v>
      </c>
      <c r="F117" s="44">
        <f>Raw!E118*$B$4</f>
        <v>0</v>
      </c>
      <c r="G117" s="24">
        <f>Raw!F118</f>
        <v>0</v>
      </c>
      <c r="H117" s="24" t="str">
        <f>Raw!G118</f>
        <v>ResCACPNW</v>
      </c>
      <c r="I117" s="24">
        <f>Raw!H118</f>
        <v>-3.4129491992416567</v>
      </c>
      <c r="J117" s="24">
        <f>Raw!I118</f>
        <v>0</v>
      </c>
      <c r="K117" s="24">
        <f>Raw!J118</f>
        <v>0</v>
      </c>
      <c r="L117" s="24">
        <f>Raw!K118</f>
        <v>0</v>
      </c>
      <c r="M117" s="24">
        <f>Raw!L118</f>
        <v>0</v>
      </c>
      <c r="N117" s="24">
        <f>Raw!M118</f>
        <v>0</v>
      </c>
      <c r="O117" s="24">
        <f>Raw!N118</f>
        <v>0</v>
      </c>
      <c r="P117" s="24">
        <f>Raw!O118</f>
        <v>0</v>
      </c>
      <c r="Q117" s="24" t="str">
        <f>Raw!P118</f>
        <v/>
      </c>
    </row>
    <row r="118" spans="1:17">
      <c r="A118" t="str">
        <f t="shared" si="1"/>
        <v>Tier2_indor2_HZ3_gfncDHWkwh</v>
      </c>
      <c r="B118" s="24" t="str">
        <f>Raw!A119</f>
        <v>Tier2_indor2_HZ3_gfnc</v>
      </c>
      <c r="C118" s="24" t="str">
        <f>Raw!B119</f>
        <v>DHWkwh</v>
      </c>
      <c r="D118" s="163">
        <f>Raw!C119</f>
        <v>1450.0418890160797</v>
      </c>
      <c r="E118" s="24">
        <f>Raw!D119</f>
        <v>13</v>
      </c>
      <c r="F118" s="44">
        <f>Raw!E119*$B$4</f>
        <v>1908.0880618971839</v>
      </c>
      <c r="G118" s="24">
        <f>Raw!F119</f>
        <v>0</v>
      </c>
      <c r="H118" s="24" t="str">
        <f>Raw!G119</f>
        <v>ResDHW</v>
      </c>
      <c r="I118" s="24">
        <f>Raw!H119</f>
        <v>-5.0194233238403738</v>
      </c>
      <c r="J118" s="24">
        <f>Raw!I119</f>
        <v>0</v>
      </c>
      <c r="K118" s="24">
        <f>Raw!J119</f>
        <v>0</v>
      </c>
      <c r="L118" s="24">
        <f>Raw!K119</f>
        <v>0</v>
      </c>
      <c r="M118" s="24">
        <f>Raw!L119</f>
        <v>0</v>
      </c>
      <c r="N118" s="24">
        <f>Raw!M119</f>
        <v>0</v>
      </c>
      <c r="O118" s="24">
        <f>Raw!N119</f>
        <v>0</v>
      </c>
      <c r="P118" s="24">
        <f>Raw!O119</f>
        <v>0</v>
      </c>
      <c r="Q118" s="24" t="str">
        <f>Raw!P119</f>
        <v/>
      </c>
    </row>
    <row r="119" spans="1:17" ht="25.5">
      <c r="A119" t="str">
        <f t="shared" si="1"/>
        <v>Tier2_indor2_HZ3_gfncHeatkwh</v>
      </c>
      <c r="B119" s="24" t="str">
        <f>Raw!A120</f>
        <v>Tier2_indor2_HZ3_gfnc</v>
      </c>
      <c r="C119" s="24" t="str">
        <f>Raw!B120</f>
        <v>Heatkwh</v>
      </c>
      <c r="D119" s="163">
        <f>Raw!C120</f>
        <v>-14.122007358272722</v>
      </c>
      <c r="E119" s="24">
        <f>Raw!D120</f>
        <v>13</v>
      </c>
      <c r="F119" s="44">
        <f>Raw!E120*$B$4</f>
        <v>0</v>
      </c>
      <c r="G119" s="24">
        <f>Raw!F120</f>
        <v>0</v>
      </c>
      <c r="H119" s="24" t="str">
        <f>Raw!G120</f>
        <v>ResSpHtFAFZ3</v>
      </c>
      <c r="I119" s="24">
        <f>Raw!H120</f>
        <v>-5.0194233238403738</v>
      </c>
      <c r="J119" s="24">
        <f>Raw!I120</f>
        <v>0</v>
      </c>
      <c r="K119" s="24">
        <f>Raw!J120</f>
        <v>0</v>
      </c>
      <c r="L119" s="24">
        <f>Raw!K120</f>
        <v>0</v>
      </c>
      <c r="M119" s="24">
        <f>Raw!L120</f>
        <v>0</v>
      </c>
      <c r="N119" s="24">
        <f>Raw!M120</f>
        <v>0</v>
      </c>
      <c r="O119" s="24">
        <f>Raw!N120</f>
        <v>0</v>
      </c>
      <c r="P119" s="24">
        <f>Raw!O120</f>
        <v>-19.111485688175385</v>
      </c>
      <c r="Q119" s="24" t="str">
        <f>Raw!P120</f>
        <v>ResSpHtFAFZ3</v>
      </c>
    </row>
    <row r="120" spans="1:17" ht="25.5">
      <c r="A120" t="str">
        <f t="shared" si="1"/>
        <v>Tier2_indor2_HZ3_gfncCoolkwh</v>
      </c>
      <c r="B120" s="24" t="str">
        <f>Raw!A121</f>
        <v>Tier2_indor2_HZ3_gfnc</v>
      </c>
      <c r="C120" s="24" t="str">
        <f>Raw!B121</f>
        <v>Coolkwh</v>
      </c>
      <c r="D120" s="163">
        <f>Raw!C121</f>
        <v>0</v>
      </c>
      <c r="E120" s="24">
        <f>Raw!D121</f>
        <v>13</v>
      </c>
      <c r="F120" s="44">
        <f>Raw!E121*$B$4</f>
        <v>0</v>
      </c>
      <c r="G120" s="24">
        <f>Raw!F121</f>
        <v>0</v>
      </c>
      <c r="H120" s="24" t="str">
        <f>Raw!G121</f>
        <v>ResCACPNW</v>
      </c>
      <c r="I120" s="24">
        <f>Raw!H121</f>
        <v>-5.0194233238403738</v>
      </c>
      <c r="J120" s="24">
        <f>Raw!I121</f>
        <v>0</v>
      </c>
      <c r="K120" s="24">
        <f>Raw!J121</f>
        <v>0</v>
      </c>
      <c r="L120" s="24">
        <f>Raw!K121</f>
        <v>0</v>
      </c>
      <c r="M120" s="24">
        <f>Raw!L121</f>
        <v>0</v>
      </c>
      <c r="N120" s="24">
        <f>Raw!M121</f>
        <v>0</v>
      </c>
      <c r="O120" s="24">
        <f>Raw!N121</f>
        <v>0</v>
      </c>
      <c r="P120" s="24">
        <f>Raw!O121</f>
        <v>0</v>
      </c>
      <c r="Q120" s="24" t="str">
        <f>Raw!P121</f>
        <v/>
      </c>
    </row>
    <row r="121" spans="1:17">
      <c r="A121" t="str">
        <f t="shared" si="1"/>
        <v>Tier2_indor2_HZ3_gfacDHWkwh</v>
      </c>
      <c r="B121" s="24" t="str">
        <f>Raw!A122</f>
        <v>Tier2_indor2_HZ3_gfac</v>
      </c>
      <c r="C121" s="24" t="str">
        <f>Raw!B122</f>
        <v>DHWkwh</v>
      </c>
      <c r="D121" s="163">
        <f>Raw!C122</f>
        <v>1441.8583173911265</v>
      </c>
      <c r="E121" s="24">
        <f>Raw!D122</f>
        <v>13</v>
      </c>
      <c r="F121" s="44">
        <f>Raw!E122*$B$4</f>
        <v>1908.0880618971839</v>
      </c>
      <c r="G121" s="24">
        <f>Raw!F122</f>
        <v>0</v>
      </c>
      <c r="H121" s="24" t="str">
        <f>Raw!G122</f>
        <v>ResDHW</v>
      </c>
      <c r="I121" s="24">
        <f>Raw!H122</f>
        <v>-5.1093698410214863</v>
      </c>
      <c r="J121" s="24">
        <f>Raw!I122</f>
        <v>0</v>
      </c>
      <c r="K121" s="24">
        <f>Raw!J122</f>
        <v>0</v>
      </c>
      <c r="L121" s="24">
        <f>Raw!K122</f>
        <v>0</v>
      </c>
      <c r="M121" s="24">
        <f>Raw!L122</f>
        <v>0</v>
      </c>
      <c r="N121" s="24">
        <f>Raw!M122</f>
        <v>0</v>
      </c>
      <c r="O121" s="24">
        <f>Raw!N122</f>
        <v>0</v>
      </c>
      <c r="P121" s="24">
        <f>Raw!O122</f>
        <v>0</v>
      </c>
      <c r="Q121" s="24" t="str">
        <f>Raw!P122</f>
        <v/>
      </c>
    </row>
    <row r="122" spans="1:17" ht="25.5">
      <c r="A122" t="str">
        <f t="shared" si="1"/>
        <v>Tier2_indor2_HZ3_gfacHeatkwh</v>
      </c>
      <c r="B122" s="24" t="str">
        <f>Raw!A123</f>
        <v>Tier2_indor2_HZ3_gfac</v>
      </c>
      <c r="C122" s="24" t="str">
        <f>Raw!B123</f>
        <v>Heatkwh</v>
      </c>
      <c r="D122" s="163">
        <f>Raw!C123</f>
        <v>-14.761057837891732</v>
      </c>
      <c r="E122" s="24">
        <f>Raw!D123</f>
        <v>13</v>
      </c>
      <c r="F122" s="44">
        <f>Raw!E123*$B$4</f>
        <v>0</v>
      </c>
      <c r="G122" s="24">
        <f>Raw!F123</f>
        <v>0</v>
      </c>
      <c r="H122" s="24" t="str">
        <f>Raw!G123</f>
        <v>ResSpHtFAFZ3</v>
      </c>
      <c r="I122" s="24">
        <f>Raw!H123</f>
        <v>-5.1093698410214863</v>
      </c>
      <c r="J122" s="24">
        <f>Raw!I123</f>
        <v>0</v>
      </c>
      <c r="K122" s="24">
        <f>Raw!J123</f>
        <v>0</v>
      </c>
      <c r="L122" s="24">
        <f>Raw!K123</f>
        <v>0</v>
      </c>
      <c r="M122" s="24">
        <f>Raw!L123</f>
        <v>0</v>
      </c>
      <c r="N122" s="24">
        <f>Raw!M123</f>
        <v>0</v>
      </c>
      <c r="O122" s="24">
        <f>Raw!N123</f>
        <v>0</v>
      </c>
      <c r="P122" s="24">
        <f>Raw!O123</f>
        <v>-19.439175476088117</v>
      </c>
      <c r="Q122" s="24" t="str">
        <f>Raw!P123</f>
        <v>ResSpHtFAFZ3</v>
      </c>
    </row>
    <row r="123" spans="1:17" ht="25.5">
      <c r="A123" t="str">
        <f t="shared" si="1"/>
        <v>Tier2_indor2_HZ3_gfacCoolkwh</v>
      </c>
      <c r="B123" s="24" t="str">
        <f>Raw!A124</f>
        <v>Tier2_indor2_HZ3_gfac</v>
      </c>
      <c r="C123" s="24" t="str">
        <f>Raw!B124</f>
        <v>Coolkwh</v>
      </c>
      <c r="D123" s="163">
        <f>Raw!C124</f>
        <v>32.694375620221805</v>
      </c>
      <c r="E123" s="24">
        <f>Raw!D124</f>
        <v>13</v>
      </c>
      <c r="F123" s="44">
        <f>Raw!E124*$B$4</f>
        <v>0</v>
      </c>
      <c r="G123" s="24">
        <f>Raw!F124</f>
        <v>0</v>
      </c>
      <c r="H123" s="24" t="str">
        <f>Raw!G124</f>
        <v>ResCACPNW</v>
      </c>
      <c r="I123" s="24">
        <f>Raw!H124</f>
        <v>-5.1093698410214863</v>
      </c>
      <c r="J123" s="24">
        <f>Raw!I124</f>
        <v>0</v>
      </c>
      <c r="K123" s="24">
        <f>Raw!J124</f>
        <v>0</v>
      </c>
      <c r="L123" s="24">
        <f>Raw!K124</f>
        <v>0</v>
      </c>
      <c r="M123" s="24">
        <f>Raw!L124</f>
        <v>0</v>
      </c>
      <c r="N123" s="24">
        <f>Raw!M124</f>
        <v>0</v>
      </c>
      <c r="O123" s="24">
        <f>Raw!N124</f>
        <v>0</v>
      </c>
      <c r="P123" s="24">
        <f>Raw!O124</f>
        <v>0</v>
      </c>
      <c r="Q123" s="24" t="str">
        <f>Raw!P124</f>
        <v/>
      </c>
    </row>
    <row r="124" spans="1:17">
      <c r="A124" t="str">
        <f t="shared" si="1"/>
        <v>Tier2_indor2_HZ3_efafDHWkwh</v>
      </c>
      <c r="B124" s="24" t="str">
        <f>Raw!A125</f>
        <v>Tier2_indor2_HZ3_efaf</v>
      </c>
      <c r="C124" s="24" t="str">
        <f>Raw!B125</f>
        <v>DHWkwh</v>
      </c>
      <c r="D124" s="163">
        <f>Raw!C125</f>
        <v>1450.0418890160797</v>
      </c>
      <c r="E124" s="24">
        <f>Raw!D125</f>
        <v>13</v>
      </c>
      <c r="F124" s="44">
        <f>Raw!E125*$B$4</f>
        <v>1908.0880618971839</v>
      </c>
      <c r="G124" s="24">
        <f>Raw!F125</f>
        <v>0</v>
      </c>
      <c r="H124" s="24" t="str">
        <f>Raw!G125</f>
        <v>ResDHW</v>
      </c>
      <c r="I124" s="24">
        <f>Raw!H125</f>
        <v>-3.5358190100180655</v>
      </c>
      <c r="J124" s="24">
        <f>Raw!I125</f>
        <v>0</v>
      </c>
      <c r="K124" s="24">
        <f>Raw!J125</f>
        <v>0</v>
      </c>
      <c r="L124" s="24">
        <f>Raw!K125</f>
        <v>0</v>
      </c>
      <c r="M124" s="24">
        <f>Raw!L125</f>
        <v>0</v>
      </c>
      <c r="N124" s="24">
        <f>Raw!M125</f>
        <v>0</v>
      </c>
      <c r="O124" s="24">
        <f>Raw!N125</f>
        <v>0</v>
      </c>
      <c r="P124" s="24">
        <f>Raw!O125</f>
        <v>0</v>
      </c>
      <c r="Q124" s="24" t="str">
        <f>Raw!P125</f>
        <v/>
      </c>
    </row>
    <row r="125" spans="1:17" ht="25.5">
      <c r="A125" t="str">
        <f t="shared" si="1"/>
        <v>Tier2_indor2_HZ3_efafHeatkwh</v>
      </c>
      <c r="B125" s="24" t="str">
        <f>Raw!A126</f>
        <v>Tier2_indor2_HZ3_efaf</v>
      </c>
      <c r="C125" s="24" t="str">
        <f>Raw!B126</f>
        <v>Heatkwh</v>
      </c>
      <c r="D125" s="163">
        <f>Raw!C126</f>
        <v>-354.53646147365117</v>
      </c>
      <c r="E125" s="24">
        <f>Raw!D126</f>
        <v>13</v>
      </c>
      <c r="F125" s="44">
        <f>Raw!E126*$B$4</f>
        <v>0</v>
      </c>
      <c r="G125" s="24">
        <f>Raw!F126</f>
        <v>0</v>
      </c>
      <c r="H125" s="24" t="str">
        <f>Raw!G126</f>
        <v>ResSpHtFAFZ3</v>
      </c>
      <c r="I125" s="24">
        <f>Raw!H126</f>
        <v>-3.5358190100180655</v>
      </c>
      <c r="J125" s="24">
        <f>Raw!I126</f>
        <v>0</v>
      </c>
      <c r="K125" s="24">
        <f>Raw!J126</f>
        <v>0</v>
      </c>
      <c r="L125" s="24">
        <f>Raw!K126</f>
        <v>0</v>
      </c>
      <c r="M125" s="24">
        <f>Raw!L126</f>
        <v>0</v>
      </c>
      <c r="N125" s="24">
        <f>Raw!M126</f>
        <v>0</v>
      </c>
      <c r="O125" s="24">
        <f>Raw!N126</f>
        <v>0</v>
      </c>
      <c r="P125" s="24">
        <f>Raw!O126</f>
        <v>-0.26600094310332018</v>
      </c>
      <c r="Q125" s="24" t="str">
        <f>Raw!P126</f>
        <v>ResSpHtFAFZ3</v>
      </c>
    </row>
    <row r="126" spans="1:17" ht="25.5">
      <c r="A126" t="str">
        <f t="shared" si="1"/>
        <v>Tier2_indor2_HZ3_efafCoolkwh</v>
      </c>
      <c r="B126" s="24" t="str">
        <f>Raw!A127</f>
        <v>Tier2_indor2_HZ3_efaf</v>
      </c>
      <c r="C126" s="24" t="str">
        <f>Raw!B127</f>
        <v>Coolkwh</v>
      </c>
      <c r="D126" s="163">
        <f>Raw!C127</f>
        <v>0</v>
      </c>
      <c r="E126" s="24">
        <f>Raw!D127</f>
        <v>13</v>
      </c>
      <c r="F126" s="44">
        <f>Raw!E127*$B$4</f>
        <v>0</v>
      </c>
      <c r="G126" s="24">
        <f>Raw!F127</f>
        <v>0</v>
      </c>
      <c r="H126" s="24" t="str">
        <f>Raw!G127</f>
        <v>ResCACPNW</v>
      </c>
      <c r="I126" s="24">
        <f>Raw!H127</f>
        <v>-3.5358190100180655</v>
      </c>
      <c r="J126" s="24">
        <f>Raw!I127</f>
        <v>0</v>
      </c>
      <c r="K126" s="24">
        <f>Raw!J127</f>
        <v>0</v>
      </c>
      <c r="L126" s="24">
        <f>Raw!K127</f>
        <v>0</v>
      </c>
      <c r="M126" s="24">
        <f>Raw!L127</f>
        <v>0</v>
      </c>
      <c r="N126" s="24">
        <f>Raw!M127</f>
        <v>0</v>
      </c>
      <c r="O126" s="24">
        <f>Raw!N127</f>
        <v>0</v>
      </c>
      <c r="P126" s="24">
        <f>Raw!O127</f>
        <v>0</v>
      </c>
      <c r="Q126" s="24" t="str">
        <f>Raw!P127</f>
        <v/>
      </c>
    </row>
    <row r="127" spans="1:17">
      <c r="A127" t="str">
        <f t="shared" si="1"/>
        <v>Tier2_indor2_HZ3_hp85DHWkwh</v>
      </c>
      <c r="B127" s="24" t="str">
        <f>Raw!A128</f>
        <v>Tier2_indor2_HZ3_hp85</v>
      </c>
      <c r="C127" s="24" t="str">
        <f>Raw!B128</f>
        <v>DHWkwh</v>
      </c>
      <c r="D127" s="163">
        <f>Raw!C128</f>
        <v>1441.8850188978379</v>
      </c>
      <c r="E127" s="24">
        <f>Raw!D128</f>
        <v>13</v>
      </c>
      <c r="F127" s="44">
        <f>Raw!E128*$B$4</f>
        <v>1908.0880618971839</v>
      </c>
      <c r="G127" s="24">
        <f>Raw!F128</f>
        <v>0</v>
      </c>
      <c r="H127" s="24" t="str">
        <f>Raw!G128</f>
        <v>ResDHW</v>
      </c>
      <c r="I127" s="24">
        <f>Raw!H128</f>
        <v>-2.6575166424749979</v>
      </c>
      <c r="J127" s="24">
        <f>Raw!I128</f>
        <v>0</v>
      </c>
      <c r="K127" s="24">
        <f>Raw!J128</f>
        <v>0</v>
      </c>
      <c r="L127" s="24">
        <f>Raw!K128</f>
        <v>0</v>
      </c>
      <c r="M127" s="24">
        <f>Raw!L128</f>
        <v>0</v>
      </c>
      <c r="N127" s="24">
        <f>Raw!M128</f>
        <v>0</v>
      </c>
      <c r="O127" s="24">
        <f>Raw!N128</f>
        <v>0</v>
      </c>
      <c r="P127" s="24">
        <f>Raw!O128</f>
        <v>0</v>
      </c>
      <c r="Q127" s="24" t="str">
        <f>Raw!P128</f>
        <v/>
      </c>
    </row>
    <row r="128" spans="1:17" ht="25.5">
      <c r="A128" t="str">
        <f t="shared" si="1"/>
        <v>Tier2_indor2_HZ3_hp85Heatkwh</v>
      </c>
      <c r="B128" s="24" t="str">
        <f>Raw!A129</f>
        <v>Tier2_indor2_HZ3_hp85</v>
      </c>
      <c r="C128" s="24" t="str">
        <f>Raw!B129</f>
        <v>Heatkwh</v>
      </c>
      <c r="D128" s="163">
        <f>Raw!C129</f>
        <v>-266.46911056841969</v>
      </c>
      <c r="E128" s="24">
        <f>Raw!D129</f>
        <v>13</v>
      </c>
      <c r="F128" s="44">
        <f>Raw!E129*$B$4</f>
        <v>0</v>
      </c>
      <c r="G128" s="24">
        <f>Raw!F129</f>
        <v>0</v>
      </c>
      <c r="H128" s="24" t="str">
        <f>Raw!G129</f>
        <v>ResSpHtHPZ3</v>
      </c>
      <c r="I128" s="24">
        <f>Raw!H129</f>
        <v>-2.6575166424749979</v>
      </c>
      <c r="J128" s="24">
        <f>Raw!I129</f>
        <v>0</v>
      </c>
      <c r="K128" s="24">
        <f>Raw!J129</f>
        <v>0</v>
      </c>
      <c r="L128" s="24">
        <f>Raw!K129</f>
        <v>0</v>
      </c>
      <c r="M128" s="24">
        <f>Raw!L129</f>
        <v>0</v>
      </c>
      <c r="N128" s="24">
        <f>Raw!M129</f>
        <v>0</v>
      </c>
      <c r="O128" s="24">
        <f>Raw!N129</f>
        <v>0</v>
      </c>
      <c r="P128" s="24">
        <f>Raw!O129</f>
        <v>-0.19992593829272576</v>
      </c>
      <c r="Q128" s="24" t="str">
        <f>Raw!P129</f>
        <v>ResSpHtHPZ3</v>
      </c>
    </row>
    <row r="129" spans="1:17" ht="25.5">
      <c r="A129" t="str">
        <f t="shared" si="1"/>
        <v>Tier2_indor2_HZ3_hp85Coolkwh</v>
      </c>
      <c r="B129" s="24" t="str">
        <f>Raw!A130</f>
        <v>Tier2_indor2_HZ3_hp85</v>
      </c>
      <c r="C129" s="24" t="str">
        <f>Raw!B130</f>
        <v>Coolkwh</v>
      </c>
      <c r="D129" s="163">
        <f>Raw!C130</f>
        <v>32.905802572236439</v>
      </c>
      <c r="E129" s="24">
        <f>Raw!D130</f>
        <v>13</v>
      </c>
      <c r="F129" s="44">
        <f>Raw!E130*$B$4</f>
        <v>0</v>
      </c>
      <c r="G129" s="24">
        <f>Raw!F130</f>
        <v>0</v>
      </c>
      <c r="H129" s="24" t="str">
        <f>Raw!G130</f>
        <v>ResCACPNW</v>
      </c>
      <c r="I129" s="24">
        <f>Raw!H130</f>
        <v>-2.6575166424749979</v>
      </c>
      <c r="J129" s="24">
        <f>Raw!I130</f>
        <v>0</v>
      </c>
      <c r="K129" s="24">
        <f>Raw!J130</f>
        <v>0</v>
      </c>
      <c r="L129" s="24">
        <f>Raw!K130</f>
        <v>0</v>
      </c>
      <c r="M129" s="24">
        <f>Raw!L130</f>
        <v>0</v>
      </c>
      <c r="N129" s="24">
        <f>Raw!M130</f>
        <v>0</v>
      </c>
      <c r="O129" s="24">
        <f>Raw!N130</f>
        <v>0</v>
      </c>
      <c r="P129" s="24">
        <f>Raw!O130</f>
        <v>0</v>
      </c>
      <c r="Q129" s="24" t="str">
        <f>Raw!P130</f>
        <v/>
      </c>
    </row>
    <row r="130" spans="1:17">
      <c r="A130" t="str">
        <f t="shared" si="1"/>
        <v>Tier2_indor2_HZ3_zonlDHWkwh</v>
      </c>
      <c r="B130" s="24" t="str">
        <f>Raw!A131</f>
        <v>Tier2_indor2_HZ3_zonl</v>
      </c>
      <c r="C130" s="24" t="str">
        <f>Raw!B131</f>
        <v>DHWkwh</v>
      </c>
      <c r="D130" s="163">
        <f>Raw!C131</f>
        <v>1449.9493423890888</v>
      </c>
      <c r="E130" s="24">
        <f>Raw!D131</f>
        <v>13</v>
      </c>
      <c r="F130" s="44">
        <f>Raw!E131*$B$4</f>
        <v>1908.0880618971839</v>
      </c>
      <c r="G130" s="24">
        <f>Raw!F131</f>
        <v>0</v>
      </c>
      <c r="H130" s="24" t="str">
        <f>Raw!G131</f>
        <v>ResDHW</v>
      </c>
      <c r="I130" s="24">
        <f>Raw!H131</f>
        <v>-3.1309652653031641</v>
      </c>
      <c r="J130" s="24">
        <f>Raw!I131</f>
        <v>0</v>
      </c>
      <c r="K130" s="24">
        <f>Raw!J131</f>
        <v>0</v>
      </c>
      <c r="L130" s="24">
        <f>Raw!K131</f>
        <v>0</v>
      </c>
      <c r="M130" s="24">
        <f>Raw!L131</f>
        <v>0</v>
      </c>
      <c r="N130" s="24">
        <f>Raw!M131</f>
        <v>0</v>
      </c>
      <c r="O130" s="24">
        <f>Raw!N131</f>
        <v>0</v>
      </c>
      <c r="P130" s="24">
        <f>Raw!O131</f>
        <v>0</v>
      </c>
      <c r="Q130" s="24" t="str">
        <f>Raw!P131</f>
        <v/>
      </c>
    </row>
    <row r="131" spans="1:17" ht="25.5">
      <c r="A131" t="str">
        <f t="shared" si="1"/>
        <v>Tier2_indor2_HZ3_zonlHeatkwh</v>
      </c>
      <c r="B131" s="24" t="str">
        <f>Raw!A132</f>
        <v>Tier2_indor2_HZ3_zonl</v>
      </c>
      <c r="C131" s="24" t="str">
        <f>Raw!B132</f>
        <v>Heatkwh</v>
      </c>
      <c r="D131" s="163">
        <f>Raw!C132</f>
        <v>-313.94178916183381</v>
      </c>
      <c r="E131" s="24">
        <f>Raw!D132</f>
        <v>13</v>
      </c>
      <c r="F131" s="44">
        <f>Raw!E132*$B$4</f>
        <v>0</v>
      </c>
      <c r="G131" s="24">
        <f>Raw!F132</f>
        <v>0</v>
      </c>
      <c r="H131" s="24" t="str">
        <f>Raw!G132</f>
        <v>ResSpHtBBZ3</v>
      </c>
      <c r="I131" s="24">
        <f>Raw!H132</f>
        <v>-3.1309652653031641</v>
      </c>
      <c r="J131" s="24">
        <f>Raw!I132</f>
        <v>0</v>
      </c>
      <c r="K131" s="24">
        <f>Raw!J132</f>
        <v>0</v>
      </c>
      <c r="L131" s="24">
        <f>Raw!K132</f>
        <v>0</v>
      </c>
      <c r="M131" s="24">
        <f>Raw!L132</f>
        <v>0</v>
      </c>
      <c r="N131" s="24">
        <f>Raw!M132</f>
        <v>0</v>
      </c>
      <c r="O131" s="24">
        <f>Raw!N132</f>
        <v>0</v>
      </c>
      <c r="P131" s="24">
        <f>Raw!O132</f>
        <v>-0.23554364944435421</v>
      </c>
      <c r="Q131" s="24" t="str">
        <f>Raw!P132</f>
        <v>ResSpHtBBZ3</v>
      </c>
    </row>
    <row r="132" spans="1:17" ht="25.5">
      <c r="A132" t="str">
        <f t="shared" si="1"/>
        <v>Tier2_indor2_HZ3_zonlCoolkwh</v>
      </c>
      <c r="B132" s="24" t="str">
        <f>Raw!A133</f>
        <v>Tier2_indor2_HZ3_zonl</v>
      </c>
      <c r="C132" s="24" t="str">
        <f>Raw!B133</f>
        <v>Coolkwh</v>
      </c>
      <c r="D132" s="163">
        <f>Raw!C133</f>
        <v>0</v>
      </c>
      <c r="E132" s="24">
        <f>Raw!D133</f>
        <v>13</v>
      </c>
      <c r="F132" s="44">
        <f>Raw!E133*$B$4</f>
        <v>0</v>
      </c>
      <c r="G132" s="24">
        <f>Raw!F133</f>
        <v>0</v>
      </c>
      <c r="H132" s="24" t="str">
        <f>Raw!G133</f>
        <v>ResCACPNW</v>
      </c>
      <c r="I132" s="24">
        <f>Raw!H133</f>
        <v>-3.1309652653031641</v>
      </c>
      <c r="J132" s="24">
        <f>Raw!I133</f>
        <v>0</v>
      </c>
      <c r="K132" s="24">
        <f>Raw!J133</f>
        <v>0</v>
      </c>
      <c r="L132" s="24">
        <f>Raw!K133</f>
        <v>0</v>
      </c>
      <c r="M132" s="24">
        <f>Raw!L133</f>
        <v>0</v>
      </c>
      <c r="N132" s="24">
        <f>Raw!M133</f>
        <v>0</v>
      </c>
      <c r="O132" s="24">
        <f>Raw!N133</f>
        <v>0</v>
      </c>
      <c r="P132" s="24">
        <f>Raw!O133</f>
        <v>0</v>
      </c>
      <c r="Q132" s="24" t="str">
        <f>Raw!P133</f>
        <v/>
      </c>
    </row>
    <row r="133" spans="1:17">
      <c r="B133" s="24"/>
      <c r="C133" s="24"/>
      <c r="D133" s="24"/>
      <c r="E133" s="24"/>
      <c r="F133" s="24"/>
      <c r="G133" s="24"/>
      <c r="H133" s="24"/>
      <c r="I133" s="24"/>
      <c r="J133" s="24"/>
      <c r="K133" s="24"/>
      <c r="L133" s="24"/>
      <c r="M133" s="24"/>
      <c r="N133" s="24"/>
      <c r="O133" s="24"/>
      <c r="P133" s="24"/>
      <c r="Q133" s="24"/>
    </row>
    <row r="145" spans="1:17">
      <c r="A145" s="42" t="s">
        <v>429</v>
      </c>
      <c r="B145" s="24"/>
      <c r="C145" s="24"/>
      <c r="D145" s="24"/>
      <c r="E145" s="24"/>
      <c r="F145" s="24"/>
      <c r="G145" s="24"/>
      <c r="H145" s="24"/>
      <c r="I145" s="24"/>
      <c r="J145" s="24"/>
      <c r="K145" s="24"/>
      <c r="L145" s="24"/>
      <c r="M145" s="24"/>
      <c r="N145" s="24"/>
      <c r="O145" s="24"/>
      <c r="P145" s="24"/>
      <c r="Q145" s="24"/>
    </row>
    <row r="146" spans="1:17">
      <c r="A146" s="7"/>
      <c r="B146" s="12" t="s">
        <v>3</v>
      </c>
      <c r="C146" s="13"/>
      <c r="D146" s="13"/>
      <c r="E146" s="13"/>
      <c r="F146" s="13"/>
      <c r="G146" s="13"/>
      <c r="H146" s="14"/>
      <c r="I146" s="15"/>
      <c r="J146" s="207" t="s">
        <v>4</v>
      </c>
      <c r="K146" s="208"/>
      <c r="L146" s="208"/>
      <c r="M146" s="208"/>
      <c r="N146" s="208"/>
      <c r="O146" s="209"/>
      <c r="P146" s="210" t="s">
        <v>5</v>
      </c>
      <c r="Q146" s="211"/>
    </row>
    <row r="147" spans="1:17" ht="25.5">
      <c r="A147" s="7" t="s">
        <v>47</v>
      </c>
      <c r="B147" s="21" t="s">
        <v>6</v>
      </c>
      <c r="C147" s="21" t="s">
        <v>7</v>
      </c>
      <c r="D147" s="21" t="s">
        <v>8</v>
      </c>
      <c r="E147" s="21" t="s">
        <v>9</v>
      </c>
      <c r="F147" s="21" t="s">
        <v>10</v>
      </c>
      <c r="G147" s="21" t="s">
        <v>11</v>
      </c>
      <c r="H147" s="21" t="s">
        <v>12</v>
      </c>
      <c r="I147" s="21" t="s">
        <v>13</v>
      </c>
      <c r="J147" s="21" t="s">
        <v>14</v>
      </c>
      <c r="K147" s="21" t="s">
        <v>15</v>
      </c>
      <c r="L147" s="21" t="s">
        <v>16</v>
      </c>
      <c r="M147" s="21" t="s">
        <v>17</v>
      </c>
      <c r="N147" s="21" t="s">
        <v>18</v>
      </c>
      <c r="O147" s="21" t="s">
        <v>19</v>
      </c>
      <c r="P147" s="22" t="s">
        <v>20</v>
      </c>
      <c r="Q147" s="21" t="s">
        <v>12</v>
      </c>
    </row>
    <row r="148" spans="1:17">
      <c r="A148" t="str">
        <f t="shared" ref="A148:A211" si="2">B148&amp;C148</f>
        <v>Tier1_garage_HZ1DHWkwh</v>
      </c>
      <c r="B148" s="24" t="str">
        <f>B7</f>
        <v>Tier1_garage_HZ1</v>
      </c>
      <c r="C148" s="24" t="str">
        <f t="shared" ref="C148:Q148" si="3">C7</f>
        <v>DHWkwh</v>
      </c>
      <c r="D148" s="25">
        <f t="shared" si="3"/>
        <v>1016.3640964593774</v>
      </c>
      <c r="E148" s="25">
        <f t="shared" si="3"/>
        <v>13</v>
      </c>
      <c r="F148" s="25">
        <f t="shared" si="3"/>
        <v>724.5875237038573</v>
      </c>
      <c r="G148" s="25">
        <f t="shared" si="3"/>
        <v>0</v>
      </c>
      <c r="H148" s="24" t="str">
        <f t="shared" si="3"/>
        <v>ResDHW</v>
      </c>
      <c r="I148" s="24">
        <f t="shared" si="3"/>
        <v>0</v>
      </c>
      <c r="J148" s="24">
        <f t="shared" si="3"/>
        <v>0</v>
      </c>
      <c r="K148" s="24">
        <f t="shared" si="3"/>
        <v>0</v>
      </c>
      <c r="L148" s="24">
        <f t="shared" si="3"/>
        <v>0</v>
      </c>
      <c r="M148" s="24">
        <f t="shared" si="3"/>
        <v>0</v>
      </c>
      <c r="N148" s="24">
        <f t="shared" si="3"/>
        <v>0</v>
      </c>
      <c r="O148" s="24">
        <f t="shared" si="3"/>
        <v>0</v>
      </c>
      <c r="P148" s="24">
        <f t="shared" si="3"/>
        <v>0</v>
      </c>
      <c r="Q148" s="24" t="str">
        <f t="shared" si="3"/>
        <v/>
      </c>
    </row>
    <row r="149" spans="1:17" ht="25.5">
      <c r="A149" t="str">
        <f t="shared" si="2"/>
        <v>Tier1_garage_HZ1Heatkwh</v>
      </c>
      <c r="B149" s="24" t="str">
        <f t="shared" ref="B149:Q212" si="4">B8</f>
        <v>Tier1_garage_HZ1</v>
      </c>
      <c r="C149" s="24" t="str">
        <f t="shared" si="4"/>
        <v>Heatkwh</v>
      </c>
      <c r="D149" s="25">
        <f t="shared" si="4"/>
        <v>0</v>
      </c>
      <c r="E149" s="25">
        <f t="shared" si="4"/>
        <v>13</v>
      </c>
      <c r="F149" s="25">
        <f t="shared" si="4"/>
        <v>0</v>
      </c>
      <c r="G149" s="25">
        <f t="shared" si="4"/>
        <v>0</v>
      </c>
      <c r="H149" s="24" t="str">
        <f t="shared" si="4"/>
        <v>ResSpHtFAFZ1</v>
      </c>
      <c r="I149" s="24">
        <f t="shared" si="4"/>
        <v>0</v>
      </c>
      <c r="J149" s="24">
        <f t="shared" si="4"/>
        <v>0</v>
      </c>
      <c r="K149" s="24">
        <f t="shared" si="4"/>
        <v>0</v>
      </c>
      <c r="L149" s="24">
        <f t="shared" si="4"/>
        <v>0</v>
      </c>
      <c r="M149" s="24">
        <f t="shared" si="4"/>
        <v>0</v>
      </c>
      <c r="N149" s="24">
        <f t="shared" si="4"/>
        <v>0</v>
      </c>
      <c r="O149" s="24">
        <f t="shared" si="4"/>
        <v>0</v>
      </c>
      <c r="P149" s="24">
        <f t="shared" si="4"/>
        <v>0</v>
      </c>
      <c r="Q149" s="24" t="str">
        <f t="shared" si="4"/>
        <v/>
      </c>
    </row>
    <row r="150" spans="1:17" ht="25.5">
      <c r="A150" t="str">
        <f t="shared" si="2"/>
        <v>Tier1_garage_HZ1Coolkwh</v>
      </c>
      <c r="B150" s="24" t="str">
        <f t="shared" si="4"/>
        <v>Tier1_garage_HZ1</v>
      </c>
      <c r="C150" s="24" t="str">
        <f t="shared" si="4"/>
        <v>Coolkwh</v>
      </c>
      <c r="D150" s="25">
        <f t="shared" si="4"/>
        <v>0</v>
      </c>
      <c r="E150" s="25">
        <f t="shared" si="4"/>
        <v>13</v>
      </c>
      <c r="F150" s="25">
        <f t="shared" si="4"/>
        <v>0</v>
      </c>
      <c r="G150" s="25">
        <f t="shared" si="4"/>
        <v>0</v>
      </c>
      <c r="H150" s="24" t="str">
        <f t="shared" si="4"/>
        <v>ResCACPNW</v>
      </c>
      <c r="I150" s="24">
        <f t="shared" si="4"/>
        <v>0</v>
      </c>
      <c r="J150" s="24">
        <f t="shared" si="4"/>
        <v>0</v>
      </c>
      <c r="K150" s="24">
        <f t="shared" si="4"/>
        <v>0</v>
      </c>
      <c r="L150" s="24">
        <f t="shared" si="4"/>
        <v>0</v>
      </c>
      <c r="M150" s="24">
        <f t="shared" si="4"/>
        <v>0</v>
      </c>
      <c r="N150" s="24">
        <f t="shared" si="4"/>
        <v>0</v>
      </c>
      <c r="O150" s="24">
        <f t="shared" si="4"/>
        <v>0</v>
      </c>
      <c r="P150" s="24">
        <f t="shared" si="4"/>
        <v>0</v>
      </c>
      <c r="Q150" s="24" t="str">
        <f t="shared" si="4"/>
        <v/>
      </c>
    </row>
    <row r="151" spans="1:17">
      <c r="A151" t="str">
        <f t="shared" si="2"/>
        <v>Tier1_garage_HZ2DHWkwh</v>
      </c>
      <c r="B151" s="24" t="str">
        <f t="shared" si="4"/>
        <v>Tier1_garage_HZ2</v>
      </c>
      <c r="C151" s="24" t="str">
        <f t="shared" si="4"/>
        <v>DHWkwh</v>
      </c>
      <c r="D151" s="25">
        <f t="shared" si="4"/>
        <v>846.8559718231312</v>
      </c>
      <c r="E151" s="25">
        <f t="shared" si="4"/>
        <v>13</v>
      </c>
      <c r="F151" s="25">
        <f t="shared" si="4"/>
        <v>724.5875237038573</v>
      </c>
      <c r="G151" s="25">
        <f t="shared" si="4"/>
        <v>0</v>
      </c>
      <c r="H151" s="24" t="str">
        <f t="shared" si="4"/>
        <v>ResDHW</v>
      </c>
      <c r="I151" s="24">
        <f t="shared" si="4"/>
        <v>0</v>
      </c>
      <c r="J151" s="24">
        <f t="shared" si="4"/>
        <v>0</v>
      </c>
      <c r="K151" s="24">
        <f t="shared" si="4"/>
        <v>0</v>
      </c>
      <c r="L151" s="24">
        <f t="shared" si="4"/>
        <v>0</v>
      </c>
      <c r="M151" s="24">
        <f t="shared" si="4"/>
        <v>0</v>
      </c>
      <c r="N151" s="24">
        <f t="shared" si="4"/>
        <v>0</v>
      </c>
      <c r="O151" s="24">
        <f t="shared" si="4"/>
        <v>0</v>
      </c>
      <c r="P151" s="24">
        <f t="shared" si="4"/>
        <v>0</v>
      </c>
      <c r="Q151" s="24" t="str">
        <f t="shared" si="4"/>
        <v/>
      </c>
    </row>
    <row r="152" spans="1:17" ht="25.5">
      <c r="A152" t="str">
        <f t="shared" si="2"/>
        <v>Tier1_garage_HZ2Heatkwh</v>
      </c>
      <c r="B152" s="24" t="str">
        <f t="shared" si="4"/>
        <v>Tier1_garage_HZ2</v>
      </c>
      <c r="C152" s="24" t="str">
        <f t="shared" si="4"/>
        <v>Heatkwh</v>
      </c>
      <c r="D152" s="25">
        <f t="shared" si="4"/>
        <v>0</v>
      </c>
      <c r="E152" s="25">
        <f t="shared" si="4"/>
        <v>13</v>
      </c>
      <c r="F152" s="25">
        <f t="shared" si="4"/>
        <v>0</v>
      </c>
      <c r="G152" s="25">
        <f t="shared" si="4"/>
        <v>0</v>
      </c>
      <c r="H152" s="24" t="str">
        <f t="shared" si="4"/>
        <v>ResSpHtFAFZ2</v>
      </c>
      <c r="I152" s="24">
        <f t="shared" si="4"/>
        <v>0</v>
      </c>
      <c r="J152" s="24">
        <f t="shared" si="4"/>
        <v>0</v>
      </c>
      <c r="K152" s="24">
        <f t="shared" si="4"/>
        <v>0</v>
      </c>
      <c r="L152" s="24">
        <f t="shared" si="4"/>
        <v>0</v>
      </c>
      <c r="M152" s="24">
        <f t="shared" si="4"/>
        <v>0</v>
      </c>
      <c r="N152" s="24">
        <f t="shared" si="4"/>
        <v>0</v>
      </c>
      <c r="O152" s="24">
        <f t="shared" si="4"/>
        <v>0</v>
      </c>
      <c r="P152" s="24">
        <f t="shared" si="4"/>
        <v>0</v>
      </c>
      <c r="Q152" s="24" t="str">
        <f t="shared" si="4"/>
        <v/>
      </c>
    </row>
    <row r="153" spans="1:17" ht="25.5">
      <c r="A153" t="str">
        <f t="shared" si="2"/>
        <v>Tier1_garage_HZ2Coolkwh</v>
      </c>
      <c r="B153" s="24" t="str">
        <f t="shared" si="4"/>
        <v>Tier1_garage_HZ2</v>
      </c>
      <c r="C153" s="24" t="str">
        <f t="shared" si="4"/>
        <v>Coolkwh</v>
      </c>
      <c r="D153" s="25">
        <f t="shared" si="4"/>
        <v>0</v>
      </c>
      <c r="E153" s="25">
        <f t="shared" si="4"/>
        <v>13</v>
      </c>
      <c r="F153" s="25">
        <f t="shared" si="4"/>
        <v>0</v>
      </c>
      <c r="G153" s="25">
        <f t="shared" si="4"/>
        <v>0</v>
      </c>
      <c r="H153" s="24" t="str">
        <f t="shared" si="4"/>
        <v>ResCACPNW</v>
      </c>
      <c r="I153" s="24">
        <f t="shared" si="4"/>
        <v>0</v>
      </c>
      <c r="J153" s="24">
        <f t="shared" si="4"/>
        <v>0</v>
      </c>
      <c r="K153" s="24">
        <f t="shared" si="4"/>
        <v>0</v>
      </c>
      <c r="L153" s="24">
        <f t="shared" si="4"/>
        <v>0</v>
      </c>
      <c r="M153" s="24">
        <f t="shared" si="4"/>
        <v>0</v>
      </c>
      <c r="N153" s="24">
        <f t="shared" si="4"/>
        <v>0</v>
      </c>
      <c r="O153" s="24">
        <f t="shared" si="4"/>
        <v>0</v>
      </c>
      <c r="P153" s="24">
        <f t="shared" si="4"/>
        <v>0</v>
      </c>
      <c r="Q153" s="24" t="str">
        <f t="shared" si="4"/>
        <v/>
      </c>
    </row>
    <row r="154" spans="1:17">
      <c r="A154" t="str">
        <f t="shared" si="2"/>
        <v>Tier1_garage_HZ3DHWkwh</v>
      </c>
      <c r="B154" s="24" t="str">
        <f t="shared" si="4"/>
        <v>Tier1_garage_HZ3</v>
      </c>
      <c r="C154" s="24" t="str">
        <f t="shared" si="4"/>
        <v>DHWkwh</v>
      </c>
      <c r="D154" s="25">
        <f t="shared" si="4"/>
        <v>708.18500587491906</v>
      </c>
      <c r="E154" s="25">
        <f t="shared" si="4"/>
        <v>13</v>
      </c>
      <c r="F154" s="25">
        <f t="shared" si="4"/>
        <v>724.5875237038573</v>
      </c>
      <c r="G154" s="25">
        <f t="shared" si="4"/>
        <v>0</v>
      </c>
      <c r="H154" s="24" t="str">
        <f t="shared" si="4"/>
        <v>ResDHW</v>
      </c>
      <c r="I154" s="24">
        <f t="shared" si="4"/>
        <v>0</v>
      </c>
      <c r="J154" s="24">
        <f t="shared" si="4"/>
        <v>0</v>
      </c>
      <c r="K154" s="24">
        <f t="shared" si="4"/>
        <v>0</v>
      </c>
      <c r="L154" s="24">
        <f t="shared" si="4"/>
        <v>0</v>
      </c>
      <c r="M154" s="24">
        <f t="shared" si="4"/>
        <v>0</v>
      </c>
      <c r="N154" s="24">
        <f t="shared" si="4"/>
        <v>0</v>
      </c>
      <c r="O154" s="24">
        <f t="shared" si="4"/>
        <v>0</v>
      </c>
      <c r="P154" s="24">
        <f t="shared" si="4"/>
        <v>0</v>
      </c>
      <c r="Q154" s="24" t="str">
        <f t="shared" si="4"/>
        <v/>
      </c>
    </row>
    <row r="155" spans="1:17" ht="25.5">
      <c r="A155" t="str">
        <f t="shared" si="2"/>
        <v>Tier1_garage_HZ3Heatkwh</v>
      </c>
      <c r="B155" s="24" t="str">
        <f t="shared" si="4"/>
        <v>Tier1_garage_HZ3</v>
      </c>
      <c r="C155" s="24" t="str">
        <f t="shared" si="4"/>
        <v>Heatkwh</v>
      </c>
      <c r="D155" s="25">
        <f t="shared" si="4"/>
        <v>0</v>
      </c>
      <c r="E155" s="25">
        <f t="shared" si="4"/>
        <v>13</v>
      </c>
      <c r="F155" s="25">
        <f t="shared" si="4"/>
        <v>0</v>
      </c>
      <c r="G155" s="25">
        <f t="shared" si="4"/>
        <v>0</v>
      </c>
      <c r="H155" s="24" t="str">
        <f t="shared" si="4"/>
        <v>ResSpHtFAFZ3</v>
      </c>
      <c r="I155" s="24">
        <f t="shared" si="4"/>
        <v>0</v>
      </c>
      <c r="J155" s="24">
        <f t="shared" si="4"/>
        <v>0</v>
      </c>
      <c r="K155" s="24">
        <f t="shared" si="4"/>
        <v>0</v>
      </c>
      <c r="L155" s="24">
        <f t="shared" si="4"/>
        <v>0</v>
      </c>
      <c r="M155" s="24">
        <f t="shared" si="4"/>
        <v>0</v>
      </c>
      <c r="N155" s="24">
        <f t="shared" si="4"/>
        <v>0</v>
      </c>
      <c r="O155" s="24">
        <f t="shared" si="4"/>
        <v>0</v>
      </c>
      <c r="P155" s="24">
        <f t="shared" si="4"/>
        <v>0</v>
      </c>
      <c r="Q155" s="24" t="str">
        <f t="shared" si="4"/>
        <v/>
      </c>
    </row>
    <row r="156" spans="1:17" ht="25.5">
      <c r="A156" t="str">
        <f t="shared" si="2"/>
        <v>Tier1_garage_HZ3Coolkwh</v>
      </c>
      <c r="B156" s="24" t="str">
        <f t="shared" si="4"/>
        <v>Tier1_garage_HZ3</v>
      </c>
      <c r="C156" s="24" t="str">
        <f t="shared" si="4"/>
        <v>Coolkwh</v>
      </c>
      <c r="D156" s="25">
        <f t="shared" si="4"/>
        <v>0</v>
      </c>
      <c r="E156" s="25">
        <f t="shared" si="4"/>
        <v>13</v>
      </c>
      <c r="F156" s="25">
        <f t="shared" si="4"/>
        <v>0</v>
      </c>
      <c r="G156" s="25">
        <f t="shared" si="4"/>
        <v>0</v>
      </c>
      <c r="H156" s="24" t="str">
        <f t="shared" si="4"/>
        <v>ResCACPNW</v>
      </c>
      <c r="I156" s="24">
        <f t="shared" si="4"/>
        <v>0</v>
      </c>
      <c r="J156" s="24">
        <f t="shared" si="4"/>
        <v>0</v>
      </c>
      <c r="K156" s="24">
        <f t="shared" si="4"/>
        <v>0</v>
      </c>
      <c r="L156" s="24">
        <f t="shared" si="4"/>
        <v>0</v>
      </c>
      <c r="M156" s="24">
        <f t="shared" si="4"/>
        <v>0</v>
      </c>
      <c r="N156" s="24">
        <f t="shared" si="4"/>
        <v>0</v>
      </c>
      <c r="O156" s="24">
        <f t="shared" si="4"/>
        <v>0</v>
      </c>
      <c r="P156" s="24">
        <f t="shared" si="4"/>
        <v>0</v>
      </c>
      <c r="Q156" s="24" t="str">
        <f t="shared" si="4"/>
        <v/>
      </c>
    </row>
    <row r="157" spans="1:17">
      <c r="A157" t="str">
        <f t="shared" si="2"/>
        <v>Tier1_basmnt_HZ1DHWkwh</v>
      </c>
      <c r="B157" s="24" t="str">
        <f t="shared" si="4"/>
        <v>Tier1_basmnt_HZ1</v>
      </c>
      <c r="C157" s="24" t="str">
        <f t="shared" si="4"/>
        <v>DHWkwh</v>
      </c>
      <c r="D157" s="25">
        <f t="shared" si="4"/>
        <v>1116.4145429490518</v>
      </c>
      <c r="E157" s="25">
        <f t="shared" si="4"/>
        <v>13</v>
      </c>
      <c r="F157" s="25">
        <f t="shared" si="4"/>
        <v>724.5875237038573</v>
      </c>
      <c r="G157" s="25">
        <f t="shared" si="4"/>
        <v>0</v>
      </c>
      <c r="H157" s="24" t="str">
        <f t="shared" si="4"/>
        <v>ResDHW</v>
      </c>
      <c r="I157" s="24">
        <f t="shared" si="4"/>
        <v>0</v>
      </c>
      <c r="J157" s="24">
        <f t="shared" si="4"/>
        <v>0</v>
      </c>
      <c r="K157" s="24">
        <f t="shared" si="4"/>
        <v>0</v>
      </c>
      <c r="L157" s="24">
        <f t="shared" si="4"/>
        <v>0</v>
      </c>
      <c r="M157" s="24">
        <f t="shared" si="4"/>
        <v>0</v>
      </c>
      <c r="N157" s="24">
        <f t="shared" si="4"/>
        <v>0</v>
      </c>
      <c r="O157" s="24">
        <f t="shared" si="4"/>
        <v>0</v>
      </c>
      <c r="P157" s="24">
        <f t="shared" si="4"/>
        <v>0</v>
      </c>
      <c r="Q157" s="24" t="str">
        <f t="shared" si="4"/>
        <v/>
      </c>
    </row>
    <row r="158" spans="1:17" ht="25.5">
      <c r="A158" t="str">
        <f t="shared" si="2"/>
        <v>Tier1_basmnt_HZ1Heatkwh</v>
      </c>
      <c r="B158" s="24" t="str">
        <f t="shared" si="4"/>
        <v>Tier1_basmnt_HZ1</v>
      </c>
      <c r="C158" s="24" t="str">
        <f t="shared" si="4"/>
        <v>Heatkwh</v>
      </c>
      <c r="D158" s="25">
        <f t="shared" si="4"/>
        <v>0</v>
      </c>
      <c r="E158" s="25">
        <f t="shared" si="4"/>
        <v>13</v>
      </c>
      <c r="F158" s="25">
        <f t="shared" si="4"/>
        <v>0</v>
      </c>
      <c r="G158" s="25">
        <f t="shared" si="4"/>
        <v>0</v>
      </c>
      <c r="H158" s="24" t="str">
        <f t="shared" si="4"/>
        <v>ResSpHtFAFZ1</v>
      </c>
      <c r="I158" s="24">
        <f t="shared" si="4"/>
        <v>0</v>
      </c>
      <c r="J158" s="24">
        <f t="shared" si="4"/>
        <v>0</v>
      </c>
      <c r="K158" s="24">
        <f t="shared" si="4"/>
        <v>0</v>
      </c>
      <c r="L158" s="24">
        <f t="shared" si="4"/>
        <v>0</v>
      </c>
      <c r="M158" s="24">
        <f t="shared" si="4"/>
        <v>0</v>
      </c>
      <c r="N158" s="24">
        <f t="shared" si="4"/>
        <v>0</v>
      </c>
      <c r="O158" s="24">
        <f t="shared" si="4"/>
        <v>0</v>
      </c>
      <c r="P158" s="24">
        <f t="shared" si="4"/>
        <v>0</v>
      </c>
      <c r="Q158" s="24" t="str">
        <f t="shared" si="4"/>
        <v/>
      </c>
    </row>
    <row r="159" spans="1:17" ht="25.5">
      <c r="A159" t="str">
        <f t="shared" si="2"/>
        <v>Tier1_basmnt_HZ1Coolkwh</v>
      </c>
      <c r="B159" s="24" t="str">
        <f t="shared" si="4"/>
        <v>Tier1_basmnt_HZ1</v>
      </c>
      <c r="C159" s="24" t="str">
        <f t="shared" si="4"/>
        <v>Coolkwh</v>
      </c>
      <c r="D159" s="25">
        <f t="shared" si="4"/>
        <v>0</v>
      </c>
      <c r="E159" s="25">
        <f t="shared" si="4"/>
        <v>13</v>
      </c>
      <c r="F159" s="25">
        <f t="shared" si="4"/>
        <v>0</v>
      </c>
      <c r="G159" s="25">
        <f t="shared" si="4"/>
        <v>0</v>
      </c>
      <c r="H159" s="24" t="str">
        <f t="shared" si="4"/>
        <v>ResCACPNW</v>
      </c>
      <c r="I159" s="24">
        <f t="shared" si="4"/>
        <v>0</v>
      </c>
      <c r="J159" s="24">
        <f t="shared" si="4"/>
        <v>0</v>
      </c>
      <c r="K159" s="24">
        <f t="shared" si="4"/>
        <v>0</v>
      </c>
      <c r="L159" s="24">
        <f t="shared" si="4"/>
        <v>0</v>
      </c>
      <c r="M159" s="24">
        <f t="shared" si="4"/>
        <v>0</v>
      </c>
      <c r="N159" s="24">
        <f t="shared" si="4"/>
        <v>0</v>
      </c>
      <c r="O159" s="24">
        <f t="shared" si="4"/>
        <v>0</v>
      </c>
      <c r="P159" s="24">
        <f t="shared" si="4"/>
        <v>0</v>
      </c>
      <c r="Q159" s="24" t="str">
        <f t="shared" si="4"/>
        <v/>
      </c>
    </row>
    <row r="160" spans="1:17">
      <c r="A160" t="str">
        <f t="shared" si="2"/>
        <v>Tier1_basmnt_HZ2DHWkwh</v>
      </c>
      <c r="B160" s="24" t="str">
        <f t="shared" si="4"/>
        <v>Tier1_basmnt_HZ2</v>
      </c>
      <c r="C160" s="24" t="str">
        <f t="shared" si="4"/>
        <v>DHWkwh</v>
      </c>
      <c r="D160" s="25">
        <f t="shared" si="4"/>
        <v>1154.5781799953099</v>
      </c>
      <c r="E160" s="25">
        <f t="shared" si="4"/>
        <v>13</v>
      </c>
      <c r="F160" s="25">
        <f t="shared" si="4"/>
        <v>724.5875237038573</v>
      </c>
      <c r="G160" s="25">
        <f t="shared" si="4"/>
        <v>0</v>
      </c>
      <c r="H160" s="24" t="str">
        <f t="shared" si="4"/>
        <v>ResDHW</v>
      </c>
      <c r="I160" s="24">
        <f t="shared" si="4"/>
        <v>0</v>
      </c>
      <c r="J160" s="24">
        <f t="shared" si="4"/>
        <v>0</v>
      </c>
      <c r="K160" s="24">
        <f t="shared" si="4"/>
        <v>0</v>
      </c>
      <c r="L160" s="24">
        <f t="shared" si="4"/>
        <v>0</v>
      </c>
      <c r="M160" s="24">
        <f t="shared" si="4"/>
        <v>0</v>
      </c>
      <c r="N160" s="24">
        <f t="shared" si="4"/>
        <v>0</v>
      </c>
      <c r="O160" s="24">
        <f t="shared" si="4"/>
        <v>0</v>
      </c>
      <c r="P160" s="24">
        <f t="shared" si="4"/>
        <v>0</v>
      </c>
      <c r="Q160" s="24" t="str">
        <f t="shared" si="4"/>
        <v/>
      </c>
    </row>
    <row r="161" spans="1:17" ht="25.5">
      <c r="A161" t="str">
        <f t="shared" si="2"/>
        <v>Tier1_basmnt_HZ2Heatkwh</v>
      </c>
      <c r="B161" s="24" t="str">
        <f t="shared" si="4"/>
        <v>Tier1_basmnt_HZ2</v>
      </c>
      <c r="C161" s="24" t="str">
        <f t="shared" si="4"/>
        <v>Heatkwh</v>
      </c>
      <c r="D161" s="25">
        <f t="shared" si="4"/>
        <v>0</v>
      </c>
      <c r="E161" s="25">
        <f t="shared" si="4"/>
        <v>13</v>
      </c>
      <c r="F161" s="25">
        <f t="shared" si="4"/>
        <v>0</v>
      </c>
      <c r="G161" s="25">
        <f t="shared" si="4"/>
        <v>0</v>
      </c>
      <c r="H161" s="24" t="str">
        <f t="shared" si="4"/>
        <v>ResSpHtFAFZ2</v>
      </c>
      <c r="I161" s="24">
        <f t="shared" si="4"/>
        <v>0</v>
      </c>
      <c r="J161" s="24">
        <f t="shared" si="4"/>
        <v>0</v>
      </c>
      <c r="K161" s="24">
        <f t="shared" si="4"/>
        <v>0</v>
      </c>
      <c r="L161" s="24">
        <f t="shared" si="4"/>
        <v>0</v>
      </c>
      <c r="M161" s="24">
        <f t="shared" si="4"/>
        <v>0</v>
      </c>
      <c r="N161" s="24">
        <f t="shared" ref="C161:Q176" si="5">N20</f>
        <v>0</v>
      </c>
      <c r="O161" s="24">
        <f t="shared" si="5"/>
        <v>0</v>
      </c>
      <c r="P161" s="24">
        <f t="shared" si="5"/>
        <v>0</v>
      </c>
      <c r="Q161" s="24" t="str">
        <f t="shared" si="5"/>
        <v/>
      </c>
    </row>
    <row r="162" spans="1:17" ht="25.5">
      <c r="A162" t="str">
        <f t="shared" si="2"/>
        <v>Tier1_basmnt_HZ2Coolkwh</v>
      </c>
      <c r="B162" s="24" t="str">
        <f t="shared" si="4"/>
        <v>Tier1_basmnt_HZ2</v>
      </c>
      <c r="C162" s="24" t="str">
        <f t="shared" si="5"/>
        <v>Coolkwh</v>
      </c>
      <c r="D162" s="25">
        <f t="shared" si="5"/>
        <v>0</v>
      </c>
      <c r="E162" s="25">
        <f t="shared" si="5"/>
        <v>13</v>
      </c>
      <c r="F162" s="25">
        <f t="shared" si="5"/>
        <v>0</v>
      </c>
      <c r="G162" s="25">
        <f t="shared" si="5"/>
        <v>0</v>
      </c>
      <c r="H162" s="24" t="str">
        <f t="shared" si="5"/>
        <v>ResCACPNW</v>
      </c>
      <c r="I162" s="24">
        <f t="shared" si="5"/>
        <v>0</v>
      </c>
      <c r="J162" s="24">
        <f t="shared" si="5"/>
        <v>0</v>
      </c>
      <c r="K162" s="24">
        <f t="shared" si="5"/>
        <v>0</v>
      </c>
      <c r="L162" s="24">
        <f t="shared" si="5"/>
        <v>0</v>
      </c>
      <c r="M162" s="24">
        <f t="shared" si="5"/>
        <v>0</v>
      </c>
      <c r="N162" s="24">
        <f t="shared" si="5"/>
        <v>0</v>
      </c>
      <c r="O162" s="24">
        <f t="shared" si="5"/>
        <v>0</v>
      </c>
      <c r="P162" s="24">
        <f t="shared" si="5"/>
        <v>0</v>
      </c>
      <c r="Q162" s="24" t="str">
        <f t="shared" si="5"/>
        <v/>
      </c>
    </row>
    <row r="163" spans="1:17">
      <c r="A163" t="str">
        <f t="shared" si="2"/>
        <v>Tier1_basmnt_HZ3DHWkwh</v>
      </c>
      <c r="B163" s="24" t="str">
        <f t="shared" si="4"/>
        <v>Tier1_basmnt_HZ3</v>
      </c>
      <c r="C163" s="24" t="str">
        <f t="shared" si="5"/>
        <v>DHWkwh</v>
      </c>
      <c r="D163" s="25">
        <f t="shared" si="5"/>
        <v>1160.5119961063936</v>
      </c>
      <c r="E163" s="25">
        <f t="shared" si="5"/>
        <v>13</v>
      </c>
      <c r="F163" s="25">
        <f t="shared" si="5"/>
        <v>724.5875237038573</v>
      </c>
      <c r="G163" s="25">
        <f t="shared" si="5"/>
        <v>0</v>
      </c>
      <c r="H163" s="24" t="str">
        <f t="shared" si="5"/>
        <v>ResDHW</v>
      </c>
      <c r="I163" s="24">
        <f t="shared" si="5"/>
        <v>0</v>
      </c>
      <c r="J163" s="24">
        <f t="shared" si="5"/>
        <v>0</v>
      </c>
      <c r="K163" s="24">
        <f t="shared" si="5"/>
        <v>0</v>
      </c>
      <c r="L163" s="24">
        <f t="shared" si="5"/>
        <v>0</v>
      </c>
      <c r="M163" s="24">
        <f t="shared" si="5"/>
        <v>0</v>
      </c>
      <c r="N163" s="24">
        <f t="shared" si="5"/>
        <v>0</v>
      </c>
      <c r="O163" s="24">
        <f t="shared" si="5"/>
        <v>0</v>
      </c>
      <c r="P163" s="24">
        <f t="shared" si="5"/>
        <v>0</v>
      </c>
      <c r="Q163" s="24" t="str">
        <f t="shared" si="5"/>
        <v/>
      </c>
    </row>
    <row r="164" spans="1:17" ht="25.5">
      <c r="A164" t="str">
        <f t="shared" si="2"/>
        <v>Tier1_basmnt_HZ3Heatkwh</v>
      </c>
      <c r="B164" s="24" t="str">
        <f t="shared" si="4"/>
        <v>Tier1_basmnt_HZ3</v>
      </c>
      <c r="C164" s="24" t="str">
        <f t="shared" si="5"/>
        <v>Heatkwh</v>
      </c>
      <c r="D164" s="25">
        <f t="shared" si="5"/>
        <v>0</v>
      </c>
      <c r="E164" s="25">
        <f t="shared" si="5"/>
        <v>13</v>
      </c>
      <c r="F164" s="25">
        <f t="shared" si="5"/>
        <v>0</v>
      </c>
      <c r="G164" s="25">
        <f t="shared" si="5"/>
        <v>0</v>
      </c>
      <c r="H164" s="24" t="str">
        <f t="shared" si="5"/>
        <v>ResSpHtFAFZ3</v>
      </c>
      <c r="I164" s="24">
        <f t="shared" si="5"/>
        <v>0</v>
      </c>
      <c r="J164" s="24">
        <f t="shared" si="5"/>
        <v>0</v>
      </c>
      <c r="K164" s="24">
        <f t="shared" si="5"/>
        <v>0</v>
      </c>
      <c r="L164" s="24">
        <f t="shared" si="5"/>
        <v>0</v>
      </c>
      <c r="M164" s="24">
        <f t="shared" si="5"/>
        <v>0</v>
      </c>
      <c r="N164" s="24">
        <f t="shared" si="5"/>
        <v>0</v>
      </c>
      <c r="O164" s="24">
        <f t="shared" si="5"/>
        <v>0</v>
      </c>
      <c r="P164" s="24">
        <f t="shared" si="5"/>
        <v>0</v>
      </c>
      <c r="Q164" s="24" t="str">
        <f t="shared" si="5"/>
        <v/>
      </c>
    </row>
    <row r="165" spans="1:17" ht="25.5">
      <c r="A165" t="str">
        <f t="shared" si="2"/>
        <v>Tier1_basmnt_HZ3Coolkwh</v>
      </c>
      <c r="B165" s="24" t="str">
        <f t="shared" si="4"/>
        <v>Tier1_basmnt_HZ3</v>
      </c>
      <c r="C165" s="24" t="str">
        <f t="shared" si="5"/>
        <v>Coolkwh</v>
      </c>
      <c r="D165" s="25">
        <f t="shared" si="5"/>
        <v>0</v>
      </c>
      <c r="E165" s="25">
        <f t="shared" si="5"/>
        <v>13</v>
      </c>
      <c r="F165" s="25">
        <f t="shared" si="5"/>
        <v>0</v>
      </c>
      <c r="G165" s="25">
        <f t="shared" si="5"/>
        <v>0</v>
      </c>
      <c r="H165" s="24" t="str">
        <f t="shared" si="5"/>
        <v>ResCACPNW</v>
      </c>
      <c r="I165" s="24">
        <f t="shared" si="5"/>
        <v>0</v>
      </c>
      <c r="J165" s="24">
        <f t="shared" si="5"/>
        <v>0</v>
      </c>
      <c r="K165" s="24">
        <f t="shared" si="5"/>
        <v>0</v>
      </c>
      <c r="L165" s="24">
        <f t="shared" si="5"/>
        <v>0</v>
      </c>
      <c r="M165" s="24">
        <f t="shared" si="5"/>
        <v>0</v>
      </c>
      <c r="N165" s="24">
        <f t="shared" si="5"/>
        <v>0</v>
      </c>
      <c r="O165" s="24">
        <f t="shared" si="5"/>
        <v>0</v>
      </c>
      <c r="P165" s="24">
        <f t="shared" si="5"/>
        <v>0</v>
      </c>
      <c r="Q165" s="24" t="str">
        <f t="shared" si="5"/>
        <v/>
      </c>
    </row>
    <row r="166" spans="1:17">
      <c r="A166" t="str">
        <f t="shared" si="2"/>
        <v>Tier1_indor2_HZ1_gfncDHWkwh</v>
      </c>
      <c r="B166" s="24" t="str">
        <f t="shared" si="4"/>
        <v>Tier1_indor2_HZ1_gfnc</v>
      </c>
      <c r="C166" s="24" t="str">
        <f t="shared" si="5"/>
        <v>DHWkwh</v>
      </c>
      <c r="D166" s="25">
        <f t="shared" si="5"/>
        <v>1243.8604062944223</v>
      </c>
      <c r="E166" s="25">
        <f t="shared" si="5"/>
        <v>13</v>
      </c>
      <c r="F166" s="25">
        <f t="shared" si="5"/>
        <v>724.5875237038573</v>
      </c>
      <c r="G166" s="25">
        <f t="shared" si="5"/>
        <v>0</v>
      </c>
      <c r="H166" s="24" t="str">
        <f t="shared" si="5"/>
        <v>ResDHW</v>
      </c>
      <c r="I166" s="24">
        <f t="shared" si="5"/>
        <v>-5.0636600354656078</v>
      </c>
      <c r="J166" s="24">
        <f t="shared" si="5"/>
        <v>0</v>
      </c>
      <c r="K166" s="24">
        <f t="shared" si="5"/>
        <v>0</v>
      </c>
      <c r="L166" s="24">
        <f t="shared" si="5"/>
        <v>0</v>
      </c>
      <c r="M166" s="24">
        <f t="shared" si="5"/>
        <v>0</v>
      </c>
      <c r="N166" s="24">
        <f t="shared" si="5"/>
        <v>0</v>
      </c>
      <c r="O166" s="24">
        <f t="shared" si="5"/>
        <v>0</v>
      </c>
      <c r="P166" s="24">
        <f t="shared" si="5"/>
        <v>0</v>
      </c>
      <c r="Q166" s="24" t="str">
        <f t="shared" si="5"/>
        <v/>
      </c>
    </row>
    <row r="167" spans="1:17" ht="25.5">
      <c r="A167" t="str">
        <f t="shared" si="2"/>
        <v>Tier1_indor2_HZ1_gfncHeatkwh</v>
      </c>
      <c r="B167" s="24" t="str">
        <f t="shared" si="4"/>
        <v>Tier1_indor2_HZ1_gfnc</v>
      </c>
      <c r="C167" s="24" t="str">
        <f t="shared" si="5"/>
        <v>Heatkwh</v>
      </c>
      <c r="D167" s="25">
        <f t="shared" si="5"/>
        <v>-13.070000166581625</v>
      </c>
      <c r="E167" s="25">
        <f t="shared" si="5"/>
        <v>13</v>
      </c>
      <c r="F167" s="25">
        <f t="shared" si="5"/>
        <v>0</v>
      </c>
      <c r="G167" s="25">
        <f t="shared" si="5"/>
        <v>0</v>
      </c>
      <c r="H167" s="24" t="str">
        <f t="shared" si="5"/>
        <v>ResSpHtFAFZ1</v>
      </c>
      <c r="I167" s="24">
        <f t="shared" si="5"/>
        <v>-5.0636600354656078</v>
      </c>
      <c r="J167" s="24">
        <f t="shared" si="5"/>
        <v>0</v>
      </c>
      <c r="K167" s="24">
        <f t="shared" si="5"/>
        <v>0</v>
      </c>
      <c r="L167" s="24">
        <f t="shared" si="5"/>
        <v>0</v>
      </c>
      <c r="M167" s="24">
        <f t="shared" si="5"/>
        <v>0</v>
      </c>
      <c r="N167" s="24">
        <f t="shared" si="5"/>
        <v>0</v>
      </c>
      <c r="O167" s="24">
        <f t="shared" si="5"/>
        <v>0</v>
      </c>
      <c r="P167" s="24">
        <f t="shared" si="5"/>
        <v>-19.724819855006501</v>
      </c>
      <c r="Q167" s="24" t="str">
        <f t="shared" si="5"/>
        <v>ResSpHtFAFZ1</v>
      </c>
    </row>
    <row r="168" spans="1:17" ht="25.5">
      <c r="A168" t="str">
        <f t="shared" si="2"/>
        <v>Tier1_indor2_HZ1_gfncCoolkwh</v>
      </c>
      <c r="B168" s="24" t="str">
        <f t="shared" si="4"/>
        <v>Tier1_indor2_HZ1_gfnc</v>
      </c>
      <c r="C168" s="24" t="str">
        <f t="shared" si="5"/>
        <v>Coolkwh</v>
      </c>
      <c r="D168" s="25">
        <f t="shared" si="5"/>
        <v>0</v>
      </c>
      <c r="E168" s="25">
        <f t="shared" si="5"/>
        <v>13</v>
      </c>
      <c r="F168" s="25">
        <f t="shared" si="5"/>
        <v>0</v>
      </c>
      <c r="G168" s="25">
        <f t="shared" si="5"/>
        <v>0</v>
      </c>
      <c r="H168" s="24" t="str">
        <f t="shared" si="5"/>
        <v>ResCACPNW</v>
      </c>
      <c r="I168" s="24">
        <f t="shared" si="5"/>
        <v>-5.0636600354656078</v>
      </c>
      <c r="J168" s="24">
        <f t="shared" si="5"/>
        <v>0</v>
      </c>
      <c r="K168" s="24">
        <f t="shared" si="5"/>
        <v>0</v>
      </c>
      <c r="L168" s="24">
        <f t="shared" si="5"/>
        <v>0</v>
      </c>
      <c r="M168" s="24">
        <f t="shared" si="5"/>
        <v>0</v>
      </c>
      <c r="N168" s="24">
        <f t="shared" si="5"/>
        <v>0</v>
      </c>
      <c r="O168" s="24">
        <f t="shared" si="5"/>
        <v>0</v>
      </c>
      <c r="P168" s="24">
        <f t="shared" si="5"/>
        <v>0</v>
      </c>
      <c r="Q168" s="24" t="str">
        <f t="shared" si="5"/>
        <v/>
      </c>
    </row>
    <row r="169" spans="1:17">
      <c r="A169" t="str">
        <f t="shared" si="2"/>
        <v>Tier1_indor2_HZ1_gfacDHWkwh</v>
      </c>
      <c r="B169" s="24" t="str">
        <f t="shared" si="4"/>
        <v>Tier1_indor2_HZ1_gfac</v>
      </c>
      <c r="C169" s="24" t="str">
        <f t="shared" si="5"/>
        <v>DHWkwh</v>
      </c>
      <c r="D169" s="25">
        <f t="shared" si="5"/>
        <v>1231.405372006785</v>
      </c>
      <c r="E169" s="25">
        <f t="shared" si="5"/>
        <v>13</v>
      </c>
      <c r="F169" s="25">
        <f t="shared" si="5"/>
        <v>724.5875237038573</v>
      </c>
      <c r="G169" s="25">
        <f t="shared" si="5"/>
        <v>0</v>
      </c>
      <c r="H169" s="24" t="str">
        <f t="shared" si="5"/>
        <v>ResDHW</v>
      </c>
      <c r="I169" s="24">
        <f t="shared" si="5"/>
        <v>-5.1132419896161725</v>
      </c>
      <c r="J169" s="24">
        <f t="shared" si="5"/>
        <v>0</v>
      </c>
      <c r="K169" s="24">
        <f t="shared" si="5"/>
        <v>0</v>
      </c>
      <c r="L169" s="24">
        <f t="shared" si="5"/>
        <v>0</v>
      </c>
      <c r="M169" s="24">
        <f t="shared" si="5"/>
        <v>0</v>
      </c>
      <c r="N169" s="24">
        <f t="shared" si="5"/>
        <v>0</v>
      </c>
      <c r="O169" s="24">
        <f t="shared" si="5"/>
        <v>0</v>
      </c>
      <c r="P169" s="24">
        <f t="shared" si="5"/>
        <v>0</v>
      </c>
      <c r="Q169" s="24" t="str">
        <f t="shared" si="5"/>
        <v/>
      </c>
    </row>
    <row r="170" spans="1:17" ht="25.5">
      <c r="A170" t="str">
        <f t="shared" si="2"/>
        <v>Tier1_indor2_HZ1_gfacHeatkwh</v>
      </c>
      <c r="B170" s="24" t="str">
        <f t="shared" si="4"/>
        <v>Tier1_indor2_HZ1_gfac</v>
      </c>
      <c r="C170" s="24" t="str">
        <f t="shared" si="5"/>
        <v>Heatkwh</v>
      </c>
      <c r="D170" s="25">
        <f t="shared" si="5"/>
        <v>-14.549592352923362</v>
      </c>
      <c r="E170" s="25">
        <f t="shared" si="5"/>
        <v>13</v>
      </c>
      <c r="F170" s="25">
        <f t="shared" si="5"/>
        <v>0</v>
      </c>
      <c r="G170" s="25">
        <f t="shared" si="5"/>
        <v>0</v>
      </c>
      <c r="H170" s="24" t="str">
        <f t="shared" si="5"/>
        <v>ResSpHtFAFZ1</v>
      </c>
      <c r="I170" s="24">
        <f t="shared" si="5"/>
        <v>-5.1132419896161725</v>
      </c>
      <c r="J170" s="24">
        <f t="shared" si="5"/>
        <v>0</v>
      </c>
      <c r="K170" s="24">
        <f t="shared" si="5"/>
        <v>0</v>
      </c>
      <c r="L170" s="24">
        <f t="shared" si="5"/>
        <v>0</v>
      </c>
      <c r="M170" s="24">
        <f t="shared" si="5"/>
        <v>0</v>
      </c>
      <c r="N170" s="24">
        <f t="shared" si="5"/>
        <v>0</v>
      </c>
      <c r="O170" s="24">
        <f t="shared" si="5"/>
        <v>0</v>
      </c>
      <c r="P170" s="24">
        <f t="shared" si="5"/>
        <v>-19.866369581760637</v>
      </c>
      <c r="Q170" s="24" t="str">
        <f t="shared" si="5"/>
        <v>ResSpHtFAFZ1</v>
      </c>
    </row>
    <row r="171" spans="1:17" ht="25.5">
      <c r="A171" t="str">
        <f t="shared" si="2"/>
        <v>Tier1_indor2_HZ1_gfacCoolkwh</v>
      </c>
      <c r="B171" s="24" t="str">
        <f t="shared" si="4"/>
        <v>Tier1_indor2_HZ1_gfac</v>
      </c>
      <c r="C171" s="24" t="str">
        <f t="shared" si="5"/>
        <v>Coolkwh</v>
      </c>
      <c r="D171" s="25">
        <f t="shared" si="5"/>
        <v>29.380580089516688</v>
      </c>
      <c r="E171" s="25">
        <f t="shared" si="5"/>
        <v>13</v>
      </c>
      <c r="F171" s="25">
        <f t="shared" si="5"/>
        <v>0</v>
      </c>
      <c r="G171" s="25">
        <f t="shared" si="5"/>
        <v>0</v>
      </c>
      <c r="H171" s="24" t="str">
        <f t="shared" si="5"/>
        <v>ResCACPNW</v>
      </c>
      <c r="I171" s="24">
        <f t="shared" si="5"/>
        <v>-5.1132419896161725</v>
      </c>
      <c r="J171" s="24">
        <f t="shared" si="5"/>
        <v>0</v>
      </c>
      <c r="K171" s="24">
        <f t="shared" si="5"/>
        <v>0</v>
      </c>
      <c r="L171" s="24">
        <f t="shared" si="5"/>
        <v>0</v>
      </c>
      <c r="M171" s="24">
        <f t="shared" si="5"/>
        <v>0</v>
      </c>
      <c r="N171" s="24">
        <f t="shared" si="5"/>
        <v>0</v>
      </c>
      <c r="O171" s="24">
        <f t="shared" si="5"/>
        <v>0</v>
      </c>
      <c r="P171" s="24">
        <f t="shared" si="5"/>
        <v>0</v>
      </c>
      <c r="Q171" s="24" t="str">
        <f t="shared" si="5"/>
        <v/>
      </c>
    </row>
    <row r="172" spans="1:17">
      <c r="A172" t="str">
        <f t="shared" si="2"/>
        <v>Tier1_indor2_HZ1_efafDHWkwh</v>
      </c>
      <c r="B172" s="24" t="str">
        <f t="shared" si="4"/>
        <v>Tier1_indor2_HZ1_efaf</v>
      </c>
      <c r="C172" s="24" t="str">
        <f t="shared" si="5"/>
        <v>DHWkwh</v>
      </c>
      <c r="D172" s="25">
        <f t="shared" si="5"/>
        <v>1243.8604062944223</v>
      </c>
      <c r="E172" s="25">
        <f t="shared" si="5"/>
        <v>13</v>
      </c>
      <c r="F172" s="25">
        <f t="shared" si="5"/>
        <v>724.5875237038573</v>
      </c>
      <c r="G172" s="25">
        <f t="shared" si="5"/>
        <v>0</v>
      </c>
      <c r="H172" s="24" t="str">
        <f t="shared" si="5"/>
        <v>ResDHW</v>
      </c>
      <c r="I172" s="24">
        <f t="shared" si="5"/>
        <v>-3.5688983656613202</v>
      </c>
      <c r="J172" s="24">
        <f t="shared" si="5"/>
        <v>0</v>
      </c>
      <c r="K172" s="24">
        <f t="shared" si="5"/>
        <v>0</v>
      </c>
      <c r="L172" s="24">
        <f t="shared" si="5"/>
        <v>0</v>
      </c>
      <c r="M172" s="24">
        <f t="shared" si="5"/>
        <v>0</v>
      </c>
      <c r="N172" s="24">
        <f t="shared" si="5"/>
        <v>0</v>
      </c>
      <c r="O172" s="24">
        <f t="shared" si="5"/>
        <v>0</v>
      </c>
      <c r="P172" s="24">
        <f t="shared" si="5"/>
        <v>0</v>
      </c>
      <c r="Q172" s="24" t="str">
        <f t="shared" si="5"/>
        <v/>
      </c>
    </row>
    <row r="173" spans="1:17" ht="25.5">
      <c r="A173" t="str">
        <f t="shared" si="2"/>
        <v>Tier1_indor2_HZ1_efafHeatkwh</v>
      </c>
      <c r="B173" s="24" t="str">
        <f t="shared" si="4"/>
        <v>Tier1_indor2_HZ1_efaf</v>
      </c>
      <c r="C173" s="24" t="str">
        <f t="shared" si="5"/>
        <v>Heatkwh</v>
      </c>
      <c r="D173" s="25">
        <f t="shared" si="5"/>
        <v>-351.50921222766476</v>
      </c>
      <c r="E173" s="25">
        <f t="shared" si="5"/>
        <v>13</v>
      </c>
      <c r="F173" s="25">
        <f t="shared" si="5"/>
        <v>0</v>
      </c>
      <c r="G173" s="25">
        <f t="shared" si="5"/>
        <v>0</v>
      </c>
      <c r="H173" s="24" t="str">
        <f t="shared" si="5"/>
        <v>ResSpHtFAFZ1</v>
      </c>
      <c r="I173" s="24">
        <f t="shared" si="5"/>
        <v>-3.5688983656613202</v>
      </c>
      <c r="J173" s="24">
        <f t="shared" si="5"/>
        <v>0</v>
      </c>
      <c r="K173" s="24">
        <f t="shared" si="5"/>
        <v>0</v>
      </c>
      <c r="L173" s="24">
        <f t="shared" si="5"/>
        <v>0</v>
      </c>
      <c r="M173" s="24">
        <f t="shared" si="5"/>
        <v>0</v>
      </c>
      <c r="N173" s="24">
        <f t="shared" si="5"/>
        <v>0</v>
      </c>
      <c r="O173" s="24">
        <f t="shared" si="5"/>
        <v>0</v>
      </c>
      <c r="P173" s="24">
        <f t="shared" si="5"/>
        <v>-0.83690513245143927</v>
      </c>
      <c r="Q173" s="24" t="str">
        <f t="shared" si="5"/>
        <v>ResSpHtFAFZ1</v>
      </c>
    </row>
    <row r="174" spans="1:17" ht="25.5">
      <c r="A174" t="str">
        <f t="shared" si="2"/>
        <v>Tier1_indor2_HZ1_efafCoolkwh</v>
      </c>
      <c r="B174" s="24" t="str">
        <f t="shared" si="4"/>
        <v>Tier1_indor2_HZ1_efaf</v>
      </c>
      <c r="C174" s="24" t="str">
        <f t="shared" si="5"/>
        <v>Coolkwh</v>
      </c>
      <c r="D174" s="25">
        <f t="shared" si="5"/>
        <v>0</v>
      </c>
      <c r="E174" s="25">
        <f t="shared" si="5"/>
        <v>13</v>
      </c>
      <c r="F174" s="25">
        <f t="shared" si="5"/>
        <v>0</v>
      </c>
      <c r="G174" s="25">
        <f t="shared" si="5"/>
        <v>0</v>
      </c>
      <c r="H174" s="24" t="str">
        <f t="shared" si="5"/>
        <v>ResCACPNW</v>
      </c>
      <c r="I174" s="24">
        <f t="shared" si="5"/>
        <v>-3.5688983656613202</v>
      </c>
      <c r="J174" s="24">
        <f t="shared" si="5"/>
        <v>0</v>
      </c>
      <c r="K174" s="24">
        <f t="shared" si="5"/>
        <v>0</v>
      </c>
      <c r="L174" s="24">
        <f t="shared" si="5"/>
        <v>0</v>
      </c>
      <c r="M174" s="24">
        <f t="shared" si="5"/>
        <v>0</v>
      </c>
      <c r="N174" s="24">
        <f t="shared" si="5"/>
        <v>0</v>
      </c>
      <c r="O174" s="24">
        <f t="shared" si="5"/>
        <v>0</v>
      </c>
      <c r="P174" s="24">
        <f t="shared" si="5"/>
        <v>0</v>
      </c>
      <c r="Q174" s="24" t="str">
        <f t="shared" si="5"/>
        <v/>
      </c>
    </row>
    <row r="175" spans="1:17">
      <c r="A175" t="str">
        <f t="shared" si="2"/>
        <v>Tier1_indor2_HZ1_hp85DHWkwh</v>
      </c>
      <c r="B175" s="24" t="str">
        <f t="shared" si="4"/>
        <v>Tier1_indor2_HZ1_hp85</v>
      </c>
      <c r="C175" s="24" t="str">
        <f t="shared" si="5"/>
        <v>DHWkwh</v>
      </c>
      <c r="D175" s="25">
        <f t="shared" si="5"/>
        <v>1231.4161895834602</v>
      </c>
      <c r="E175" s="25">
        <f t="shared" si="5"/>
        <v>13</v>
      </c>
      <c r="F175" s="25">
        <f t="shared" si="5"/>
        <v>724.5875237038573</v>
      </c>
      <c r="G175" s="25">
        <f t="shared" si="5"/>
        <v>0</v>
      </c>
      <c r="H175" s="24" t="str">
        <f t="shared" si="5"/>
        <v>ResDHW</v>
      </c>
      <c r="I175" s="24">
        <f t="shared" si="5"/>
        <v>-1.7496133081543634</v>
      </c>
      <c r="J175" s="24">
        <f t="shared" si="5"/>
        <v>0</v>
      </c>
      <c r="K175" s="24">
        <f t="shared" si="5"/>
        <v>0</v>
      </c>
      <c r="L175" s="24">
        <f t="shared" si="5"/>
        <v>0</v>
      </c>
      <c r="M175" s="24">
        <f t="shared" si="5"/>
        <v>0</v>
      </c>
      <c r="N175" s="24">
        <f t="shared" si="5"/>
        <v>0</v>
      </c>
      <c r="O175" s="24">
        <f t="shared" si="5"/>
        <v>0</v>
      </c>
      <c r="P175" s="24">
        <f t="shared" si="5"/>
        <v>0</v>
      </c>
      <c r="Q175" s="24" t="str">
        <f t="shared" si="5"/>
        <v/>
      </c>
    </row>
    <row r="176" spans="1:17" ht="25.5">
      <c r="A176" t="str">
        <f t="shared" si="2"/>
        <v>Tier1_indor2_HZ1_hp85Heatkwh</v>
      </c>
      <c r="B176" s="24" t="str">
        <f t="shared" si="4"/>
        <v>Tier1_indor2_HZ1_hp85</v>
      </c>
      <c r="C176" s="24" t="str">
        <f t="shared" si="5"/>
        <v>Heatkwh</v>
      </c>
      <c r="D176" s="25">
        <f t="shared" si="5"/>
        <v>-172.32353870587679</v>
      </c>
      <c r="E176" s="25">
        <f t="shared" si="5"/>
        <v>13</v>
      </c>
      <c r="F176" s="25">
        <f t="shared" si="5"/>
        <v>0</v>
      </c>
      <c r="G176" s="25">
        <f t="shared" si="5"/>
        <v>0</v>
      </c>
      <c r="H176" s="24" t="str">
        <f t="shared" si="5"/>
        <v>ResSpHtHPZ1</v>
      </c>
      <c r="I176" s="24">
        <f t="shared" si="5"/>
        <v>-1.7496133081543634</v>
      </c>
      <c r="J176" s="24">
        <f t="shared" si="5"/>
        <v>0</v>
      </c>
      <c r="K176" s="24">
        <f t="shared" si="5"/>
        <v>0</v>
      </c>
      <c r="L176" s="24">
        <f t="shared" si="5"/>
        <v>0</v>
      </c>
      <c r="M176" s="24">
        <f t="shared" si="5"/>
        <v>0</v>
      </c>
      <c r="N176" s="24">
        <f t="shared" si="5"/>
        <v>0</v>
      </c>
      <c r="O176" s="24">
        <f t="shared" si="5"/>
        <v>0</v>
      </c>
      <c r="P176" s="24">
        <f t="shared" si="5"/>
        <v>-0.41028356859033155</v>
      </c>
      <c r="Q176" s="24" t="str">
        <f t="shared" si="5"/>
        <v>ResSpHtHPZ1</v>
      </c>
    </row>
    <row r="177" spans="1:17" ht="25.5">
      <c r="A177" t="str">
        <f t="shared" si="2"/>
        <v>Tier1_indor2_HZ1_hp85Coolkwh</v>
      </c>
      <c r="B177" s="24" t="str">
        <f t="shared" si="4"/>
        <v>Tier1_indor2_HZ1_hp85</v>
      </c>
      <c r="C177" s="24" t="str">
        <f t="shared" ref="C177:Q192" si="6">C36</f>
        <v>Coolkwh</v>
      </c>
      <c r="D177" s="25">
        <f t="shared" si="6"/>
        <v>29.552677516223916</v>
      </c>
      <c r="E177" s="25">
        <f t="shared" si="6"/>
        <v>13</v>
      </c>
      <c r="F177" s="25">
        <f t="shared" si="6"/>
        <v>0</v>
      </c>
      <c r="G177" s="25">
        <f t="shared" si="6"/>
        <v>0</v>
      </c>
      <c r="H177" s="24" t="str">
        <f t="shared" si="6"/>
        <v>ResCACPNW</v>
      </c>
      <c r="I177" s="24">
        <f t="shared" si="6"/>
        <v>-1.7496133081543634</v>
      </c>
      <c r="J177" s="24">
        <f t="shared" si="6"/>
        <v>0</v>
      </c>
      <c r="K177" s="24">
        <f t="shared" si="6"/>
        <v>0</v>
      </c>
      <c r="L177" s="24">
        <f t="shared" si="6"/>
        <v>0</v>
      </c>
      <c r="M177" s="24">
        <f t="shared" si="6"/>
        <v>0</v>
      </c>
      <c r="N177" s="24">
        <f t="shared" si="6"/>
        <v>0</v>
      </c>
      <c r="O177" s="24">
        <f t="shared" si="6"/>
        <v>0</v>
      </c>
      <c r="P177" s="24">
        <f t="shared" si="6"/>
        <v>0</v>
      </c>
      <c r="Q177" s="24" t="str">
        <f t="shared" si="6"/>
        <v/>
      </c>
    </row>
    <row r="178" spans="1:17">
      <c r="A178" t="str">
        <f t="shared" si="2"/>
        <v>Tier1_indor2_HZ1_zonlDHWkwh</v>
      </c>
      <c r="B178" s="24" t="str">
        <f t="shared" si="4"/>
        <v>Tier1_indor2_HZ1_zonl</v>
      </c>
      <c r="C178" s="24" t="str">
        <f t="shared" si="6"/>
        <v>DHWkwh</v>
      </c>
      <c r="D178" s="25">
        <f t="shared" si="6"/>
        <v>1243.8863623993275</v>
      </c>
      <c r="E178" s="25">
        <f t="shared" si="6"/>
        <v>13</v>
      </c>
      <c r="F178" s="25">
        <f t="shared" si="6"/>
        <v>724.5875237038573</v>
      </c>
      <c r="G178" s="25">
        <f t="shared" si="6"/>
        <v>0</v>
      </c>
      <c r="H178" s="24" t="str">
        <f t="shared" si="6"/>
        <v>ResDHW</v>
      </c>
      <c r="I178" s="24">
        <f t="shared" si="6"/>
        <v>-3.1860342580112393</v>
      </c>
      <c r="J178" s="24">
        <f t="shared" si="6"/>
        <v>0</v>
      </c>
      <c r="K178" s="24">
        <f t="shared" si="6"/>
        <v>0</v>
      </c>
      <c r="L178" s="24">
        <f t="shared" si="6"/>
        <v>0</v>
      </c>
      <c r="M178" s="24">
        <f t="shared" si="6"/>
        <v>0</v>
      </c>
      <c r="N178" s="24">
        <f t="shared" si="6"/>
        <v>0</v>
      </c>
      <c r="O178" s="24">
        <f t="shared" si="6"/>
        <v>0</v>
      </c>
      <c r="P178" s="24">
        <f t="shared" si="6"/>
        <v>0</v>
      </c>
      <c r="Q178" s="24" t="str">
        <f t="shared" si="6"/>
        <v/>
      </c>
    </row>
    <row r="179" spans="1:17" ht="25.5">
      <c r="A179" t="str">
        <f t="shared" si="2"/>
        <v>Tier1_indor2_HZ1_zonlHeatkwh</v>
      </c>
      <c r="B179" s="24" t="str">
        <f t="shared" si="4"/>
        <v>Tier1_indor2_HZ1_zonl</v>
      </c>
      <c r="C179" s="24" t="str">
        <f t="shared" si="6"/>
        <v>Heatkwh</v>
      </c>
      <c r="D179" s="25">
        <f t="shared" si="6"/>
        <v>-313.80002382229816</v>
      </c>
      <c r="E179" s="25">
        <f t="shared" si="6"/>
        <v>13</v>
      </c>
      <c r="F179" s="25">
        <f t="shared" si="6"/>
        <v>0</v>
      </c>
      <c r="G179" s="25">
        <f t="shared" si="6"/>
        <v>0</v>
      </c>
      <c r="H179" s="24" t="str">
        <f t="shared" si="6"/>
        <v>ResSpHtBBZ1</v>
      </c>
      <c r="I179" s="24">
        <f t="shared" si="6"/>
        <v>-3.1860342580112393</v>
      </c>
      <c r="J179" s="24">
        <f t="shared" si="6"/>
        <v>0</v>
      </c>
      <c r="K179" s="24">
        <f t="shared" si="6"/>
        <v>0</v>
      </c>
      <c r="L179" s="24">
        <f t="shared" si="6"/>
        <v>0</v>
      </c>
      <c r="M179" s="24">
        <f t="shared" si="6"/>
        <v>0</v>
      </c>
      <c r="N179" s="24">
        <f t="shared" si="6"/>
        <v>0</v>
      </c>
      <c r="O179" s="24">
        <f t="shared" si="6"/>
        <v>0</v>
      </c>
      <c r="P179" s="24">
        <f t="shared" si="6"/>
        <v>-0.74712366380364303</v>
      </c>
      <c r="Q179" s="24" t="str">
        <f t="shared" si="6"/>
        <v>ResSpHtBBZ1</v>
      </c>
    </row>
    <row r="180" spans="1:17" ht="25.5">
      <c r="A180" t="str">
        <f t="shared" si="2"/>
        <v>Tier1_indor2_HZ1_zonlCoolkwh</v>
      </c>
      <c r="B180" s="24" t="str">
        <f t="shared" si="4"/>
        <v>Tier1_indor2_HZ1_zonl</v>
      </c>
      <c r="C180" s="24" t="str">
        <f t="shared" si="6"/>
        <v>Coolkwh</v>
      </c>
      <c r="D180" s="25">
        <f t="shared" si="6"/>
        <v>0</v>
      </c>
      <c r="E180" s="25">
        <f t="shared" si="6"/>
        <v>13</v>
      </c>
      <c r="F180" s="25">
        <f t="shared" si="6"/>
        <v>0</v>
      </c>
      <c r="G180" s="25">
        <f t="shared" si="6"/>
        <v>0</v>
      </c>
      <c r="H180" s="24" t="str">
        <f t="shared" si="6"/>
        <v>ResCACPNW</v>
      </c>
      <c r="I180" s="24">
        <f t="shared" si="6"/>
        <v>-3.1860342580112393</v>
      </c>
      <c r="J180" s="24">
        <f t="shared" si="6"/>
        <v>0</v>
      </c>
      <c r="K180" s="24">
        <f t="shared" si="6"/>
        <v>0</v>
      </c>
      <c r="L180" s="24">
        <f t="shared" si="6"/>
        <v>0</v>
      </c>
      <c r="M180" s="24">
        <f t="shared" si="6"/>
        <v>0</v>
      </c>
      <c r="N180" s="24">
        <f t="shared" si="6"/>
        <v>0</v>
      </c>
      <c r="O180" s="24">
        <f t="shared" si="6"/>
        <v>0</v>
      </c>
      <c r="P180" s="24">
        <f t="shared" si="6"/>
        <v>0</v>
      </c>
      <c r="Q180" s="24" t="str">
        <f t="shared" si="6"/>
        <v/>
      </c>
    </row>
    <row r="181" spans="1:17">
      <c r="A181" t="str">
        <f t="shared" si="2"/>
        <v>Tier1_indor2_HZ2_gfncDHWkwh</v>
      </c>
      <c r="B181" s="24" t="str">
        <f t="shared" si="4"/>
        <v>Tier1_indor2_HZ2_gfnc</v>
      </c>
      <c r="C181" s="24" t="str">
        <f t="shared" si="6"/>
        <v>DHWkwh</v>
      </c>
      <c r="D181" s="25">
        <f t="shared" si="6"/>
        <v>1310.2363695143879</v>
      </c>
      <c r="E181" s="25">
        <f t="shared" si="6"/>
        <v>13</v>
      </c>
      <c r="F181" s="25">
        <f t="shared" si="6"/>
        <v>724.5875237038573</v>
      </c>
      <c r="G181" s="25">
        <f t="shared" si="6"/>
        <v>0</v>
      </c>
      <c r="H181" s="24" t="str">
        <f t="shared" si="6"/>
        <v>ResDHW</v>
      </c>
      <c r="I181" s="24">
        <f t="shared" si="6"/>
        <v>-4.6365753722866305</v>
      </c>
      <c r="J181" s="24">
        <f t="shared" si="6"/>
        <v>0</v>
      </c>
      <c r="K181" s="24">
        <f t="shared" si="6"/>
        <v>0</v>
      </c>
      <c r="L181" s="24">
        <f t="shared" si="6"/>
        <v>0</v>
      </c>
      <c r="M181" s="24">
        <f t="shared" si="6"/>
        <v>0</v>
      </c>
      <c r="N181" s="24">
        <f t="shared" si="6"/>
        <v>0</v>
      </c>
      <c r="O181" s="24">
        <f t="shared" si="6"/>
        <v>0</v>
      </c>
      <c r="P181" s="24">
        <f t="shared" si="6"/>
        <v>0</v>
      </c>
      <c r="Q181" s="24" t="str">
        <f t="shared" si="6"/>
        <v/>
      </c>
    </row>
    <row r="182" spans="1:17" ht="25.5">
      <c r="A182" t="str">
        <f t="shared" si="2"/>
        <v>Tier1_indor2_HZ2_gfncHeatkwh</v>
      </c>
      <c r="B182" s="24" t="str">
        <f t="shared" si="4"/>
        <v>Tier1_indor2_HZ2_gfnc</v>
      </c>
      <c r="C182" s="24" t="str">
        <f t="shared" si="6"/>
        <v>Heatkwh</v>
      </c>
      <c r="D182" s="25">
        <f t="shared" si="6"/>
        <v>-12.827895357275422</v>
      </c>
      <c r="E182" s="25">
        <f t="shared" si="6"/>
        <v>13</v>
      </c>
      <c r="F182" s="25">
        <f t="shared" si="6"/>
        <v>0</v>
      </c>
      <c r="G182" s="25">
        <f t="shared" si="6"/>
        <v>0</v>
      </c>
      <c r="H182" s="24" t="str">
        <f t="shared" si="6"/>
        <v>ResSpHtFAFZ2</v>
      </c>
      <c r="I182" s="24">
        <f t="shared" si="6"/>
        <v>-4.6365753722866305</v>
      </c>
      <c r="J182" s="24">
        <f t="shared" si="6"/>
        <v>0</v>
      </c>
      <c r="K182" s="24">
        <f t="shared" si="6"/>
        <v>0</v>
      </c>
      <c r="L182" s="24">
        <f t="shared" si="6"/>
        <v>0</v>
      </c>
      <c r="M182" s="24">
        <f t="shared" si="6"/>
        <v>0</v>
      </c>
      <c r="N182" s="24">
        <f t="shared" si="6"/>
        <v>0</v>
      </c>
      <c r="O182" s="24">
        <f t="shared" si="6"/>
        <v>0</v>
      </c>
      <c r="P182" s="24">
        <f t="shared" si="6"/>
        <v>-17.66209936662602</v>
      </c>
      <c r="Q182" s="24" t="str">
        <f t="shared" si="6"/>
        <v>ResSpHtFAFZ2</v>
      </c>
    </row>
    <row r="183" spans="1:17" ht="25.5">
      <c r="A183" t="str">
        <f t="shared" si="2"/>
        <v>Tier1_indor2_HZ2_gfncCoolkwh</v>
      </c>
      <c r="B183" s="24" t="str">
        <f t="shared" si="4"/>
        <v>Tier1_indor2_HZ2_gfnc</v>
      </c>
      <c r="C183" s="24" t="str">
        <f t="shared" si="6"/>
        <v>Coolkwh</v>
      </c>
      <c r="D183" s="25">
        <f t="shared" si="6"/>
        <v>0</v>
      </c>
      <c r="E183" s="25">
        <f t="shared" si="6"/>
        <v>13</v>
      </c>
      <c r="F183" s="25">
        <f t="shared" si="6"/>
        <v>0</v>
      </c>
      <c r="G183" s="25">
        <f t="shared" si="6"/>
        <v>0</v>
      </c>
      <c r="H183" s="24" t="str">
        <f t="shared" si="6"/>
        <v>ResCACPNW</v>
      </c>
      <c r="I183" s="24">
        <f t="shared" si="6"/>
        <v>-4.6365753722866305</v>
      </c>
      <c r="J183" s="24">
        <f t="shared" si="6"/>
        <v>0</v>
      </c>
      <c r="K183" s="24">
        <f t="shared" si="6"/>
        <v>0</v>
      </c>
      <c r="L183" s="24">
        <f t="shared" si="6"/>
        <v>0</v>
      </c>
      <c r="M183" s="24">
        <f t="shared" si="6"/>
        <v>0</v>
      </c>
      <c r="N183" s="24">
        <f t="shared" si="6"/>
        <v>0</v>
      </c>
      <c r="O183" s="24">
        <f t="shared" si="6"/>
        <v>0</v>
      </c>
      <c r="P183" s="24">
        <f t="shared" si="6"/>
        <v>0</v>
      </c>
      <c r="Q183" s="24" t="str">
        <f t="shared" si="6"/>
        <v/>
      </c>
    </row>
    <row r="184" spans="1:17">
      <c r="A184" t="str">
        <f t="shared" si="2"/>
        <v>Tier1_indor2_HZ2_gfacDHWkwh</v>
      </c>
      <c r="B184" s="24" t="str">
        <f t="shared" si="4"/>
        <v>Tier1_indor2_HZ2_gfac</v>
      </c>
      <c r="C184" s="24" t="str">
        <f t="shared" si="6"/>
        <v>DHWkwh</v>
      </c>
      <c r="D184" s="25">
        <f t="shared" si="6"/>
        <v>1290.711854118596</v>
      </c>
      <c r="E184" s="25">
        <f t="shared" si="6"/>
        <v>13</v>
      </c>
      <c r="F184" s="25">
        <f t="shared" si="6"/>
        <v>724.5875237038573</v>
      </c>
      <c r="G184" s="25">
        <f t="shared" si="6"/>
        <v>0</v>
      </c>
      <c r="H184" s="24" t="str">
        <f t="shared" si="6"/>
        <v>ResDHW</v>
      </c>
      <c r="I184" s="24">
        <f t="shared" si="6"/>
        <v>-4.6882128078901584</v>
      </c>
      <c r="J184" s="24">
        <f t="shared" si="6"/>
        <v>0</v>
      </c>
      <c r="K184" s="24">
        <f t="shared" si="6"/>
        <v>0</v>
      </c>
      <c r="L184" s="24">
        <f t="shared" si="6"/>
        <v>0</v>
      </c>
      <c r="M184" s="24">
        <f t="shared" si="6"/>
        <v>0</v>
      </c>
      <c r="N184" s="24">
        <f t="shared" si="6"/>
        <v>0</v>
      </c>
      <c r="O184" s="24">
        <f t="shared" si="6"/>
        <v>0</v>
      </c>
      <c r="P184" s="24">
        <f t="shared" si="6"/>
        <v>0</v>
      </c>
      <c r="Q184" s="24" t="str">
        <f t="shared" si="6"/>
        <v/>
      </c>
    </row>
    <row r="185" spans="1:17" ht="25.5">
      <c r="A185" t="str">
        <f t="shared" si="2"/>
        <v>Tier1_indor2_HZ2_gfacHeatkwh</v>
      </c>
      <c r="B185" s="24" t="str">
        <f t="shared" si="4"/>
        <v>Tier1_indor2_HZ2_gfac</v>
      </c>
      <c r="C185" s="24" t="str">
        <f t="shared" si="6"/>
        <v>Heatkwh</v>
      </c>
      <c r="D185" s="25">
        <f t="shared" si="6"/>
        <v>-13.571148677924437</v>
      </c>
      <c r="E185" s="25">
        <f t="shared" si="6"/>
        <v>13</v>
      </c>
      <c r="F185" s="25">
        <f t="shared" si="6"/>
        <v>0</v>
      </c>
      <c r="G185" s="25">
        <f t="shared" si="6"/>
        <v>0</v>
      </c>
      <c r="H185" s="24" t="str">
        <f t="shared" si="6"/>
        <v>ResSpHtFAFZ2</v>
      </c>
      <c r="I185" s="24">
        <f t="shared" si="6"/>
        <v>-4.6882128078901584</v>
      </c>
      <c r="J185" s="24">
        <f t="shared" si="6"/>
        <v>0</v>
      </c>
      <c r="K185" s="24">
        <f t="shared" si="6"/>
        <v>0</v>
      </c>
      <c r="L185" s="24">
        <f t="shared" si="6"/>
        <v>0</v>
      </c>
      <c r="M185" s="24">
        <f t="shared" si="6"/>
        <v>0</v>
      </c>
      <c r="N185" s="24">
        <f t="shared" si="6"/>
        <v>0</v>
      </c>
      <c r="O185" s="24">
        <f t="shared" si="6"/>
        <v>0</v>
      </c>
      <c r="P185" s="24">
        <f t="shared" si="6"/>
        <v>-17.835808755255901</v>
      </c>
      <c r="Q185" s="24" t="str">
        <f t="shared" si="6"/>
        <v>ResSpHtFAFZ2</v>
      </c>
    </row>
    <row r="186" spans="1:17" ht="25.5">
      <c r="A186" t="str">
        <f t="shared" si="2"/>
        <v>Tier1_indor2_HZ2_gfacCoolkwh</v>
      </c>
      <c r="B186" s="24" t="str">
        <f t="shared" si="4"/>
        <v>Tier1_indor2_HZ2_gfac</v>
      </c>
      <c r="C186" s="24" t="str">
        <f t="shared" si="6"/>
        <v>Coolkwh</v>
      </c>
      <c r="D186" s="25">
        <f t="shared" si="6"/>
        <v>33.129570748535471</v>
      </c>
      <c r="E186" s="25">
        <f t="shared" si="6"/>
        <v>13</v>
      </c>
      <c r="F186" s="25">
        <f t="shared" si="6"/>
        <v>0</v>
      </c>
      <c r="G186" s="25">
        <f t="shared" si="6"/>
        <v>0</v>
      </c>
      <c r="H186" s="24" t="str">
        <f t="shared" si="6"/>
        <v>ResCACPNW</v>
      </c>
      <c r="I186" s="24">
        <f t="shared" si="6"/>
        <v>-4.6882128078901584</v>
      </c>
      <c r="J186" s="24">
        <f t="shared" si="6"/>
        <v>0</v>
      </c>
      <c r="K186" s="24">
        <f t="shared" si="6"/>
        <v>0</v>
      </c>
      <c r="L186" s="24">
        <f t="shared" si="6"/>
        <v>0</v>
      </c>
      <c r="M186" s="24">
        <f t="shared" si="6"/>
        <v>0</v>
      </c>
      <c r="N186" s="24">
        <f t="shared" si="6"/>
        <v>0</v>
      </c>
      <c r="O186" s="24">
        <f t="shared" si="6"/>
        <v>0</v>
      </c>
      <c r="P186" s="24">
        <f t="shared" si="6"/>
        <v>0</v>
      </c>
      <c r="Q186" s="24" t="str">
        <f t="shared" si="6"/>
        <v/>
      </c>
    </row>
    <row r="187" spans="1:17">
      <c r="A187" t="str">
        <f t="shared" si="2"/>
        <v>Tier1_indor2_HZ2_efafDHWkwh</v>
      </c>
      <c r="B187" s="24" t="str">
        <f t="shared" si="4"/>
        <v>Tier1_indor2_HZ2_efaf</v>
      </c>
      <c r="C187" s="24" t="str">
        <f t="shared" si="6"/>
        <v>DHWkwh</v>
      </c>
      <c r="D187" s="25">
        <f t="shared" si="6"/>
        <v>1310.2363695143879</v>
      </c>
      <c r="E187" s="25">
        <f t="shared" si="6"/>
        <v>13</v>
      </c>
      <c r="F187" s="25">
        <f t="shared" si="6"/>
        <v>724.5875237038573</v>
      </c>
      <c r="G187" s="25">
        <f t="shared" si="6"/>
        <v>0</v>
      </c>
      <c r="H187" s="24" t="str">
        <f t="shared" si="6"/>
        <v>ResDHW</v>
      </c>
      <c r="I187" s="24">
        <f t="shared" si="6"/>
        <v>-3.2720615140776217</v>
      </c>
      <c r="J187" s="24">
        <f t="shared" si="6"/>
        <v>0</v>
      </c>
      <c r="K187" s="24">
        <f t="shared" si="6"/>
        <v>0</v>
      </c>
      <c r="L187" s="24">
        <f t="shared" si="6"/>
        <v>0</v>
      </c>
      <c r="M187" s="24">
        <f t="shared" si="6"/>
        <v>0</v>
      </c>
      <c r="N187" s="24">
        <f t="shared" si="6"/>
        <v>0</v>
      </c>
      <c r="O187" s="24">
        <f t="shared" si="6"/>
        <v>0</v>
      </c>
      <c r="P187" s="24">
        <f t="shared" si="6"/>
        <v>0</v>
      </c>
      <c r="Q187" s="24" t="str">
        <f t="shared" si="6"/>
        <v/>
      </c>
    </row>
    <row r="188" spans="1:17" ht="25.5">
      <c r="A188" t="str">
        <f t="shared" si="2"/>
        <v>Tier1_indor2_HZ2_efafHeatkwh</v>
      </c>
      <c r="B188" s="24" t="str">
        <f t="shared" si="4"/>
        <v>Tier1_indor2_HZ2_efaf</v>
      </c>
      <c r="C188" s="24" t="str">
        <f t="shared" si="6"/>
        <v>Heatkwh</v>
      </c>
      <c r="D188" s="25">
        <f t="shared" si="6"/>
        <v>-328.0895056105461</v>
      </c>
      <c r="E188" s="25">
        <f t="shared" si="6"/>
        <v>13</v>
      </c>
      <c r="F188" s="25">
        <f t="shared" si="6"/>
        <v>0</v>
      </c>
      <c r="G188" s="25">
        <f t="shared" si="6"/>
        <v>0</v>
      </c>
      <c r="H188" s="24" t="str">
        <f t="shared" si="6"/>
        <v>ResSpHtFAFZ2</v>
      </c>
      <c r="I188" s="24">
        <f t="shared" si="6"/>
        <v>-3.2720615140776217</v>
      </c>
      <c r="J188" s="24">
        <f t="shared" si="6"/>
        <v>0</v>
      </c>
      <c r="K188" s="24">
        <f t="shared" si="6"/>
        <v>0</v>
      </c>
      <c r="L188" s="24">
        <f t="shared" si="6"/>
        <v>0</v>
      </c>
      <c r="M188" s="24">
        <f t="shared" si="6"/>
        <v>0</v>
      </c>
      <c r="N188" s="24">
        <f t="shared" si="6"/>
        <v>0</v>
      </c>
      <c r="O188" s="24">
        <f t="shared" si="6"/>
        <v>0</v>
      </c>
      <c r="P188" s="24">
        <f t="shared" si="6"/>
        <v>-0.24615837127711976</v>
      </c>
      <c r="Q188" s="24" t="str">
        <f t="shared" si="6"/>
        <v>ResSpHtFAFZ2</v>
      </c>
    </row>
    <row r="189" spans="1:17" ht="25.5">
      <c r="A189" t="str">
        <f t="shared" si="2"/>
        <v>Tier1_indor2_HZ2_efafCoolkwh</v>
      </c>
      <c r="B189" s="24" t="str">
        <f t="shared" si="4"/>
        <v>Tier1_indor2_HZ2_efaf</v>
      </c>
      <c r="C189" s="24" t="str">
        <f t="shared" si="6"/>
        <v>Coolkwh</v>
      </c>
      <c r="D189" s="25">
        <f t="shared" si="6"/>
        <v>0</v>
      </c>
      <c r="E189" s="25">
        <f t="shared" si="6"/>
        <v>13</v>
      </c>
      <c r="F189" s="25">
        <f t="shared" si="6"/>
        <v>0</v>
      </c>
      <c r="G189" s="25">
        <f t="shared" si="6"/>
        <v>0</v>
      </c>
      <c r="H189" s="24" t="str">
        <f t="shared" si="6"/>
        <v>ResCACPNW</v>
      </c>
      <c r="I189" s="24">
        <f t="shared" si="6"/>
        <v>-3.2720615140776217</v>
      </c>
      <c r="J189" s="24">
        <f t="shared" si="6"/>
        <v>0</v>
      </c>
      <c r="K189" s="24">
        <f t="shared" si="6"/>
        <v>0</v>
      </c>
      <c r="L189" s="24">
        <f t="shared" si="6"/>
        <v>0</v>
      </c>
      <c r="M189" s="24">
        <f t="shared" si="6"/>
        <v>0</v>
      </c>
      <c r="N189" s="24">
        <f t="shared" si="6"/>
        <v>0</v>
      </c>
      <c r="O189" s="24">
        <f t="shared" si="6"/>
        <v>0</v>
      </c>
      <c r="P189" s="24">
        <f t="shared" si="6"/>
        <v>0</v>
      </c>
      <c r="Q189" s="24" t="str">
        <f t="shared" si="6"/>
        <v/>
      </c>
    </row>
    <row r="190" spans="1:17">
      <c r="A190" t="str">
        <f t="shared" si="2"/>
        <v>Tier1_indor2_HZ2_hp85DHWkwh</v>
      </c>
      <c r="B190" s="24" t="str">
        <f t="shared" si="4"/>
        <v>Tier1_indor2_HZ2_hp85</v>
      </c>
      <c r="C190" s="24" t="str">
        <f t="shared" si="6"/>
        <v>DHWkwh</v>
      </c>
      <c r="D190" s="25">
        <f t="shared" si="6"/>
        <v>1290.7265967492426</v>
      </c>
      <c r="E190" s="25">
        <f t="shared" si="6"/>
        <v>13</v>
      </c>
      <c r="F190" s="25">
        <f t="shared" si="6"/>
        <v>724.5875237038573</v>
      </c>
      <c r="G190" s="25">
        <f t="shared" si="6"/>
        <v>0</v>
      </c>
      <c r="H190" s="24" t="str">
        <f t="shared" si="6"/>
        <v>ResDHW</v>
      </c>
      <c r="I190" s="24">
        <f t="shared" si="6"/>
        <v>-2.0996322588157486</v>
      </c>
      <c r="J190" s="24">
        <f t="shared" si="6"/>
        <v>0</v>
      </c>
      <c r="K190" s="24">
        <f t="shared" si="6"/>
        <v>0</v>
      </c>
      <c r="L190" s="24">
        <f t="shared" si="6"/>
        <v>0</v>
      </c>
      <c r="M190" s="24">
        <f t="shared" si="6"/>
        <v>0</v>
      </c>
      <c r="N190" s="24">
        <f t="shared" si="6"/>
        <v>0</v>
      </c>
      <c r="O190" s="24">
        <f t="shared" si="6"/>
        <v>0</v>
      </c>
      <c r="P190" s="24">
        <f t="shared" si="6"/>
        <v>0</v>
      </c>
      <c r="Q190" s="24" t="str">
        <f t="shared" si="6"/>
        <v/>
      </c>
    </row>
    <row r="191" spans="1:17" ht="25.5">
      <c r="A191" t="str">
        <f t="shared" si="2"/>
        <v>Tier1_indor2_HZ2_hp85Heatkwh</v>
      </c>
      <c r="B191" s="24" t="str">
        <f t="shared" si="4"/>
        <v>Tier1_indor2_HZ2_hp85</v>
      </c>
      <c r="C191" s="24" t="str">
        <f t="shared" si="6"/>
        <v>Heatkwh</v>
      </c>
      <c r="D191" s="25">
        <f t="shared" si="6"/>
        <v>-210.53006087906681</v>
      </c>
      <c r="E191" s="25">
        <f t="shared" si="6"/>
        <v>13</v>
      </c>
      <c r="F191" s="25">
        <f t="shared" si="6"/>
        <v>0</v>
      </c>
      <c r="G191" s="25">
        <f t="shared" si="6"/>
        <v>0</v>
      </c>
      <c r="H191" s="24" t="str">
        <f t="shared" si="6"/>
        <v>ResSpHtHPZ2</v>
      </c>
      <c r="I191" s="24">
        <f t="shared" si="6"/>
        <v>-2.0996322588157486</v>
      </c>
      <c r="J191" s="24">
        <f t="shared" si="6"/>
        <v>0</v>
      </c>
      <c r="K191" s="24">
        <f t="shared" si="6"/>
        <v>0</v>
      </c>
      <c r="L191" s="24">
        <f t="shared" si="6"/>
        <v>0</v>
      </c>
      <c r="M191" s="24">
        <f t="shared" si="6"/>
        <v>0</v>
      </c>
      <c r="N191" s="24">
        <f t="shared" si="6"/>
        <v>0</v>
      </c>
      <c r="O191" s="24">
        <f t="shared" si="6"/>
        <v>0</v>
      </c>
      <c r="P191" s="24">
        <f t="shared" si="6"/>
        <v>-0.15795609431159488</v>
      </c>
      <c r="Q191" s="24" t="str">
        <f t="shared" si="6"/>
        <v>ResSpHtHPZ2</v>
      </c>
    </row>
    <row r="192" spans="1:17" ht="25.5">
      <c r="A192" t="str">
        <f t="shared" si="2"/>
        <v>Tier1_indor2_HZ2_hp85Coolkwh</v>
      </c>
      <c r="B192" s="24" t="str">
        <f t="shared" si="4"/>
        <v>Tier1_indor2_HZ2_hp85</v>
      </c>
      <c r="C192" s="24" t="str">
        <f t="shared" si="6"/>
        <v>Coolkwh</v>
      </c>
      <c r="D192" s="25">
        <f t="shared" si="6"/>
        <v>33.319817172968932</v>
      </c>
      <c r="E192" s="25">
        <f t="shared" si="6"/>
        <v>13</v>
      </c>
      <c r="F192" s="25">
        <f t="shared" si="6"/>
        <v>0</v>
      </c>
      <c r="G192" s="25">
        <f t="shared" si="6"/>
        <v>0</v>
      </c>
      <c r="H192" s="24" t="str">
        <f t="shared" si="6"/>
        <v>ResCACPNW</v>
      </c>
      <c r="I192" s="24">
        <f t="shared" si="6"/>
        <v>-2.0996322588157486</v>
      </c>
      <c r="J192" s="24">
        <f t="shared" si="6"/>
        <v>0</v>
      </c>
      <c r="K192" s="24">
        <f t="shared" si="6"/>
        <v>0</v>
      </c>
      <c r="L192" s="24">
        <f t="shared" si="6"/>
        <v>0</v>
      </c>
      <c r="M192" s="24">
        <f t="shared" si="6"/>
        <v>0</v>
      </c>
      <c r="N192" s="24">
        <f t="shared" si="6"/>
        <v>0</v>
      </c>
      <c r="O192" s="24">
        <f t="shared" si="6"/>
        <v>0</v>
      </c>
      <c r="P192" s="24">
        <f t="shared" si="6"/>
        <v>0</v>
      </c>
      <c r="Q192" s="24" t="str">
        <f t="shared" si="6"/>
        <v/>
      </c>
    </row>
    <row r="193" spans="1:17">
      <c r="A193" t="str">
        <f t="shared" si="2"/>
        <v>Tier1_indor2_HZ2_zonlDHWkwh</v>
      </c>
      <c r="B193" s="24" t="str">
        <f t="shared" si="4"/>
        <v>Tier1_indor2_HZ2_zonl</v>
      </c>
      <c r="C193" s="24" t="str">
        <f t="shared" ref="C193:Q208" si="7">C52</f>
        <v>DHWkwh</v>
      </c>
      <c r="D193" s="25">
        <f t="shared" si="7"/>
        <v>1309.9202011242153</v>
      </c>
      <c r="E193" s="25">
        <f t="shared" si="7"/>
        <v>13</v>
      </c>
      <c r="F193" s="25">
        <f t="shared" si="7"/>
        <v>724.5875237038573</v>
      </c>
      <c r="G193" s="25">
        <f t="shared" si="7"/>
        <v>0</v>
      </c>
      <c r="H193" s="24" t="str">
        <f t="shared" si="7"/>
        <v>ResDHW</v>
      </c>
      <c r="I193" s="24">
        <f t="shared" si="7"/>
        <v>-2.9077739556591125</v>
      </c>
      <c r="J193" s="24">
        <f t="shared" si="7"/>
        <v>0</v>
      </c>
      <c r="K193" s="24">
        <f t="shared" si="7"/>
        <v>0</v>
      </c>
      <c r="L193" s="24">
        <f t="shared" si="7"/>
        <v>0</v>
      </c>
      <c r="M193" s="24">
        <f t="shared" si="7"/>
        <v>0</v>
      </c>
      <c r="N193" s="24">
        <f t="shared" si="7"/>
        <v>0</v>
      </c>
      <c r="O193" s="24">
        <f t="shared" si="7"/>
        <v>0</v>
      </c>
      <c r="P193" s="24">
        <f t="shared" si="7"/>
        <v>0</v>
      </c>
      <c r="Q193" s="24" t="str">
        <f t="shared" si="7"/>
        <v/>
      </c>
    </row>
    <row r="194" spans="1:17" ht="25.5">
      <c r="A194" t="str">
        <f t="shared" si="2"/>
        <v>Tier1_indor2_HZ2_zonlHeatkwh</v>
      </c>
      <c r="B194" s="24" t="str">
        <f t="shared" si="4"/>
        <v>Tier1_indor2_HZ2_zonl</v>
      </c>
      <c r="C194" s="24" t="str">
        <f t="shared" si="7"/>
        <v>Heatkwh</v>
      </c>
      <c r="D194" s="25">
        <f t="shared" si="7"/>
        <v>-291.56240352906423</v>
      </c>
      <c r="E194" s="25">
        <f t="shared" si="7"/>
        <v>13</v>
      </c>
      <c r="F194" s="25">
        <f t="shared" si="7"/>
        <v>0</v>
      </c>
      <c r="G194" s="25">
        <f t="shared" si="7"/>
        <v>0</v>
      </c>
      <c r="H194" s="24" t="str">
        <f t="shared" si="7"/>
        <v>ResSpHtBBZ2</v>
      </c>
      <c r="I194" s="24">
        <f t="shared" si="7"/>
        <v>-2.9077739556591125</v>
      </c>
      <c r="J194" s="24">
        <f t="shared" si="7"/>
        <v>0</v>
      </c>
      <c r="K194" s="24">
        <f t="shared" si="7"/>
        <v>0</v>
      </c>
      <c r="L194" s="24">
        <f t="shared" si="7"/>
        <v>0</v>
      </c>
      <c r="M194" s="24">
        <f t="shared" si="7"/>
        <v>0</v>
      </c>
      <c r="N194" s="24">
        <f t="shared" si="7"/>
        <v>0</v>
      </c>
      <c r="O194" s="24">
        <f t="shared" si="7"/>
        <v>0</v>
      </c>
      <c r="P194" s="24">
        <f t="shared" si="7"/>
        <v>-0.21875288648686911</v>
      </c>
      <c r="Q194" s="24" t="str">
        <f t="shared" si="7"/>
        <v>ResSpHtBBZ2</v>
      </c>
    </row>
    <row r="195" spans="1:17" ht="25.5">
      <c r="A195" t="str">
        <f t="shared" si="2"/>
        <v>Tier1_indor2_HZ2_zonlCoolkwh</v>
      </c>
      <c r="B195" s="24" t="str">
        <f t="shared" si="4"/>
        <v>Tier1_indor2_HZ2_zonl</v>
      </c>
      <c r="C195" s="24" t="str">
        <f t="shared" si="7"/>
        <v>Coolkwh</v>
      </c>
      <c r="D195" s="25">
        <f t="shared" si="7"/>
        <v>0</v>
      </c>
      <c r="E195" s="25">
        <f t="shared" si="7"/>
        <v>13</v>
      </c>
      <c r="F195" s="25">
        <f t="shared" si="7"/>
        <v>0</v>
      </c>
      <c r="G195" s="25">
        <f t="shared" si="7"/>
        <v>0</v>
      </c>
      <c r="H195" s="24" t="str">
        <f t="shared" si="7"/>
        <v>ResCACPNW</v>
      </c>
      <c r="I195" s="24">
        <f t="shared" si="7"/>
        <v>-2.9077739556591125</v>
      </c>
      <c r="J195" s="24">
        <f t="shared" si="7"/>
        <v>0</v>
      </c>
      <c r="K195" s="24">
        <f t="shared" si="7"/>
        <v>0</v>
      </c>
      <c r="L195" s="24">
        <f t="shared" si="7"/>
        <v>0</v>
      </c>
      <c r="M195" s="24">
        <f t="shared" si="7"/>
        <v>0</v>
      </c>
      <c r="N195" s="24">
        <f t="shared" si="7"/>
        <v>0</v>
      </c>
      <c r="O195" s="24">
        <f t="shared" si="7"/>
        <v>0</v>
      </c>
      <c r="P195" s="24">
        <f t="shared" si="7"/>
        <v>0</v>
      </c>
      <c r="Q195" s="24" t="str">
        <f t="shared" si="7"/>
        <v/>
      </c>
    </row>
    <row r="196" spans="1:17">
      <c r="A196" t="str">
        <f t="shared" si="2"/>
        <v>Tier1_indor2_HZ3_gfncDHWkwh</v>
      </c>
      <c r="B196" s="24" t="str">
        <f t="shared" si="4"/>
        <v>Tier1_indor2_HZ3_gfnc</v>
      </c>
      <c r="C196" s="24" t="str">
        <f t="shared" si="7"/>
        <v>DHWkwh</v>
      </c>
      <c r="D196" s="25">
        <f t="shared" si="7"/>
        <v>1340.44858307818</v>
      </c>
      <c r="E196" s="25">
        <f t="shared" si="7"/>
        <v>13</v>
      </c>
      <c r="F196" s="25">
        <f t="shared" si="7"/>
        <v>724.5875237038573</v>
      </c>
      <c r="G196" s="25">
        <f t="shared" si="7"/>
        <v>0</v>
      </c>
      <c r="H196" s="24" t="str">
        <f t="shared" si="7"/>
        <v>ResDHW</v>
      </c>
      <c r="I196" s="24">
        <f t="shared" si="7"/>
        <v>-4.258992974136226</v>
      </c>
      <c r="J196" s="24">
        <f t="shared" si="7"/>
        <v>0</v>
      </c>
      <c r="K196" s="24">
        <f t="shared" si="7"/>
        <v>0</v>
      </c>
      <c r="L196" s="24">
        <f t="shared" si="7"/>
        <v>0</v>
      </c>
      <c r="M196" s="24">
        <f t="shared" si="7"/>
        <v>0</v>
      </c>
      <c r="N196" s="24">
        <f t="shared" si="7"/>
        <v>0</v>
      </c>
      <c r="O196" s="24">
        <f t="shared" si="7"/>
        <v>0</v>
      </c>
      <c r="P196" s="24">
        <f t="shared" si="7"/>
        <v>0</v>
      </c>
      <c r="Q196" s="24" t="str">
        <f t="shared" si="7"/>
        <v/>
      </c>
    </row>
    <row r="197" spans="1:17" ht="25.5">
      <c r="A197" t="str">
        <f t="shared" si="2"/>
        <v>Tier1_indor2_HZ3_gfncHeatkwh</v>
      </c>
      <c r="B197" s="24" t="str">
        <f t="shared" si="4"/>
        <v>Tier1_indor2_HZ3_gfnc</v>
      </c>
      <c r="C197" s="24" t="str">
        <f t="shared" si="7"/>
        <v>Heatkwh</v>
      </c>
      <c r="D197" s="25">
        <f t="shared" si="7"/>
        <v>-11.970880184044759</v>
      </c>
      <c r="E197" s="25">
        <f t="shared" si="7"/>
        <v>13</v>
      </c>
      <c r="F197" s="25">
        <f t="shared" si="7"/>
        <v>0</v>
      </c>
      <c r="G197" s="25">
        <f t="shared" si="7"/>
        <v>0</v>
      </c>
      <c r="H197" s="24" t="str">
        <f t="shared" si="7"/>
        <v>ResSpHtFAFZ3</v>
      </c>
      <c r="I197" s="24">
        <f t="shared" si="7"/>
        <v>-4.258992974136226</v>
      </c>
      <c r="J197" s="24">
        <f t="shared" si="7"/>
        <v>0</v>
      </c>
      <c r="K197" s="24">
        <f t="shared" si="7"/>
        <v>0</v>
      </c>
      <c r="L197" s="24">
        <f t="shared" si="7"/>
        <v>0</v>
      </c>
      <c r="M197" s="24">
        <f t="shared" si="7"/>
        <v>0</v>
      </c>
      <c r="N197" s="24">
        <f t="shared" si="7"/>
        <v>0</v>
      </c>
      <c r="O197" s="24">
        <f t="shared" si="7"/>
        <v>0</v>
      </c>
      <c r="P197" s="24">
        <f t="shared" si="7"/>
        <v>-16.21658959322032</v>
      </c>
      <c r="Q197" s="24" t="str">
        <f t="shared" si="7"/>
        <v>ResSpHtFAFZ3</v>
      </c>
    </row>
    <row r="198" spans="1:17" ht="25.5">
      <c r="A198" t="str">
        <f t="shared" si="2"/>
        <v>Tier1_indor2_HZ3_gfncCoolkwh</v>
      </c>
      <c r="B198" s="24" t="str">
        <f t="shared" si="4"/>
        <v>Tier1_indor2_HZ3_gfnc</v>
      </c>
      <c r="C198" s="24" t="str">
        <f t="shared" si="7"/>
        <v>Coolkwh</v>
      </c>
      <c r="D198" s="25">
        <f t="shared" si="7"/>
        <v>0</v>
      </c>
      <c r="E198" s="25">
        <f t="shared" si="7"/>
        <v>13</v>
      </c>
      <c r="F198" s="25">
        <f t="shared" si="7"/>
        <v>0</v>
      </c>
      <c r="G198" s="25">
        <f t="shared" si="7"/>
        <v>0</v>
      </c>
      <c r="H198" s="24" t="str">
        <f t="shared" si="7"/>
        <v>ResCACPNW</v>
      </c>
      <c r="I198" s="24">
        <f t="shared" si="7"/>
        <v>-4.258992974136226</v>
      </c>
      <c r="J198" s="24">
        <f t="shared" si="7"/>
        <v>0</v>
      </c>
      <c r="K198" s="24">
        <f t="shared" si="7"/>
        <v>0</v>
      </c>
      <c r="L198" s="24">
        <f t="shared" si="7"/>
        <v>0</v>
      </c>
      <c r="M198" s="24">
        <f t="shared" si="7"/>
        <v>0</v>
      </c>
      <c r="N198" s="24">
        <f t="shared" si="7"/>
        <v>0</v>
      </c>
      <c r="O198" s="24">
        <f t="shared" si="7"/>
        <v>0</v>
      </c>
      <c r="P198" s="24">
        <f t="shared" si="7"/>
        <v>0</v>
      </c>
      <c r="Q198" s="24" t="str">
        <f t="shared" si="7"/>
        <v/>
      </c>
    </row>
    <row r="199" spans="1:17">
      <c r="A199" t="str">
        <f t="shared" si="2"/>
        <v>Tier1_indor2_HZ3_gfacDHWkwh</v>
      </c>
      <c r="B199" s="24" t="str">
        <f t="shared" si="4"/>
        <v>Tier1_indor2_HZ3_gfac</v>
      </c>
      <c r="C199" s="24" t="str">
        <f t="shared" si="7"/>
        <v>DHWkwh</v>
      </c>
      <c r="D199" s="25">
        <f t="shared" si="7"/>
        <v>1326.6188989663367</v>
      </c>
      <c r="E199" s="25">
        <f t="shared" si="7"/>
        <v>13</v>
      </c>
      <c r="F199" s="25">
        <f t="shared" si="7"/>
        <v>724.5875237038573</v>
      </c>
      <c r="G199" s="25">
        <f t="shared" si="7"/>
        <v>0</v>
      </c>
      <c r="H199" s="24" t="str">
        <f t="shared" si="7"/>
        <v>ResDHW</v>
      </c>
      <c r="I199" s="24">
        <f t="shared" si="7"/>
        <v>-4.3286342520108745</v>
      </c>
      <c r="J199" s="24">
        <f t="shared" si="7"/>
        <v>0</v>
      </c>
      <c r="K199" s="24">
        <f t="shared" si="7"/>
        <v>0</v>
      </c>
      <c r="L199" s="24">
        <f t="shared" si="7"/>
        <v>0</v>
      </c>
      <c r="M199" s="24">
        <f t="shared" si="7"/>
        <v>0</v>
      </c>
      <c r="N199" s="24">
        <f t="shared" si="7"/>
        <v>0</v>
      </c>
      <c r="O199" s="24">
        <f t="shared" si="7"/>
        <v>0</v>
      </c>
      <c r="P199" s="24">
        <f t="shared" si="7"/>
        <v>0</v>
      </c>
      <c r="Q199" s="24" t="str">
        <f t="shared" si="7"/>
        <v/>
      </c>
    </row>
    <row r="200" spans="1:17" ht="25.5">
      <c r="A200" t="str">
        <f t="shared" si="2"/>
        <v>Tier1_indor2_HZ3_gfacHeatkwh</v>
      </c>
      <c r="B200" s="24" t="str">
        <f t="shared" si="4"/>
        <v>Tier1_indor2_HZ3_gfac</v>
      </c>
      <c r="C200" s="24" t="str">
        <f t="shared" si="7"/>
        <v>Heatkwh</v>
      </c>
      <c r="D200" s="25">
        <f t="shared" si="7"/>
        <v>-12.493420972743845</v>
      </c>
      <c r="E200" s="25">
        <f t="shared" si="7"/>
        <v>13</v>
      </c>
      <c r="F200" s="25">
        <f t="shared" si="7"/>
        <v>0</v>
      </c>
      <c r="G200" s="25">
        <f t="shared" si="7"/>
        <v>0</v>
      </c>
      <c r="H200" s="24" t="str">
        <f t="shared" si="7"/>
        <v>ResSpHtFAFZ3</v>
      </c>
      <c r="I200" s="24">
        <f t="shared" si="7"/>
        <v>-4.3286342520108745</v>
      </c>
      <c r="J200" s="24">
        <f t="shared" si="7"/>
        <v>0</v>
      </c>
      <c r="K200" s="24">
        <f t="shared" si="7"/>
        <v>0</v>
      </c>
      <c r="L200" s="24">
        <f t="shared" si="7"/>
        <v>0</v>
      </c>
      <c r="M200" s="24">
        <f t="shared" si="7"/>
        <v>0</v>
      </c>
      <c r="N200" s="24">
        <f t="shared" si="7"/>
        <v>0</v>
      </c>
      <c r="O200" s="24">
        <f t="shared" si="7"/>
        <v>0</v>
      </c>
      <c r="P200" s="24">
        <f t="shared" si="7"/>
        <v>-16.469241178086019</v>
      </c>
      <c r="Q200" s="24" t="str">
        <f t="shared" si="7"/>
        <v>ResSpHtFAFZ3</v>
      </c>
    </row>
    <row r="201" spans="1:17" ht="25.5">
      <c r="A201" t="str">
        <f t="shared" si="2"/>
        <v>Tier1_indor2_HZ3_gfacCoolkwh</v>
      </c>
      <c r="B201" s="24" t="str">
        <f t="shared" si="4"/>
        <v>Tier1_indor2_HZ3_gfac</v>
      </c>
      <c r="C201" s="24" t="str">
        <f t="shared" si="7"/>
        <v>Coolkwh</v>
      </c>
      <c r="D201" s="25">
        <f t="shared" si="7"/>
        <v>35.292250597433956</v>
      </c>
      <c r="E201" s="25">
        <f t="shared" si="7"/>
        <v>13</v>
      </c>
      <c r="F201" s="25">
        <f t="shared" si="7"/>
        <v>0</v>
      </c>
      <c r="G201" s="25">
        <f t="shared" si="7"/>
        <v>0</v>
      </c>
      <c r="H201" s="24" t="str">
        <f t="shared" si="7"/>
        <v>ResCACPNW</v>
      </c>
      <c r="I201" s="24">
        <f t="shared" si="7"/>
        <v>-4.3286342520108745</v>
      </c>
      <c r="J201" s="24">
        <f t="shared" si="7"/>
        <v>0</v>
      </c>
      <c r="K201" s="24">
        <f t="shared" si="7"/>
        <v>0</v>
      </c>
      <c r="L201" s="24">
        <f t="shared" si="7"/>
        <v>0</v>
      </c>
      <c r="M201" s="24">
        <f t="shared" si="7"/>
        <v>0</v>
      </c>
      <c r="N201" s="24">
        <f t="shared" si="7"/>
        <v>0</v>
      </c>
      <c r="O201" s="24">
        <f t="shared" si="7"/>
        <v>0</v>
      </c>
      <c r="P201" s="24">
        <f t="shared" si="7"/>
        <v>0</v>
      </c>
      <c r="Q201" s="24" t="str">
        <f t="shared" si="7"/>
        <v/>
      </c>
    </row>
    <row r="202" spans="1:17">
      <c r="A202" t="str">
        <f t="shared" si="2"/>
        <v>Tier1_indor2_HZ3_efafDHWkwh</v>
      </c>
      <c r="B202" s="24" t="str">
        <f t="shared" si="4"/>
        <v>Tier1_indor2_HZ3_efaf</v>
      </c>
      <c r="C202" s="24" t="str">
        <f t="shared" si="7"/>
        <v>DHWkwh</v>
      </c>
      <c r="D202" s="25">
        <f t="shared" si="7"/>
        <v>1340.44858307818</v>
      </c>
      <c r="E202" s="25">
        <f t="shared" si="7"/>
        <v>13</v>
      </c>
      <c r="F202" s="25">
        <f t="shared" si="7"/>
        <v>724.5875237038573</v>
      </c>
      <c r="G202" s="25">
        <f t="shared" si="7"/>
        <v>0</v>
      </c>
      <c r="H202" s="24" t="str">
        <f t="shared" si="7"/>
        <v>ResDHW</v>
      </c>
      <c r="I202" s="24">
        <f t="shared" si="7"/>
        <v>-3.0001420000773384</v>
      </c>
      <c r="J202" s="24">
        <f t="shared" si="7"/>
        <v>0</v>
      </c>
      <c r="K202" s="24">
        <f t="shared" si="7"/>
        <v>0</v>
      </c>
      <c r="L202" s="24">
        <f t="shared" si="7"/>
        <v>0</v>
      </c>
      <c r="M202" s="24">
        <f t="shared" si="7"/>
        <v>0</v>
      </c>
      <c r="N202" s="24">
        <f t="shared" si="7"/>
        <v>0</v>
      </c>
      <c r="O202" s="24">
        <f t="shared" si="7"/>
        <v>0</v>
      </c>
      <c r="P202" s="24">
        <f t="shared" si="7"/>
        <v>0</v>
      </c>
      <c r="Q202" s="24" t="str">
        <f t="shared" si="7"/>
        <v/>
      </c>
    </row>
    <row r="203" spans="1:17" ht="25.5">
      <c r="A203" t="str">
        <f t="shared" si="2"/>
        <v>Tier1_indor2_HZ3_efafHeatkwh</v>
      </c>
      <c r="B203" s="24" t="str">
        <f t="shared" si="4"/>
        <v>Tier1_indor2_HZ3_efaf</v>
      </c>
      <c r="C203" s="24" t="str">
        <f t="shared" si="7"/>
        <v>Heatkwh</v>
      </c>
      <c r="D203" s="25">
        <f t="shared" si="7"/>
        <v>-300.82414445202835</v>
      </c>
      <c r="E203" s="25">
        <f t="shared" si="7"/>
        <v>13</v>
      </c>
      <c r="F203" s="25">
        <f t="shared" si="7"/>
        <v>0</v>
      </c>
      <c r="G203" s="25">
        <f t="shared" si="7"/>
        <v>0</v>
      </c>
      <c r="H203" s="24" t="str">
        <f t="shared" si="7"/>
        <v>ResSpHtFAFZ3</v>
      </c>
      <c r="I203" s="24">
        <f t="shared" si="7"/>
        <v>-3.0001420000773384</v>
      </c>
      <c r="J203" s="24">
        <f t="shared" si="7"/>
        <v>0</v>
      </c>
      <c r="K203" s="24">
        <f t="shared" si="7"/>
        <v>0</v>
      </c>
      <c r="L203" s="24">
        <f t="shared" si="7"/>
        <v>0</v>
      </c>
      <c r="M203" s="24">
        <f t="shared" si="7"/>
        <v>0</v>
      </c>
      <c r="N203" s="24">
        <f t="shared" si="7"/>
        <v>0</v>
      </c>
      <c r="O203" s="24">
        <f t="shared" si="7"/>
        <v>0</v>
      </c>
      <c r="P203" s="24">
        <f t="shared" si="7"/>
        <v>-0.22570176787990515</v>
      </c>
      <c r="Q203" s="24" t="str">
        <f t="shared" si="7"/>
        <v>ResSpHtFAFZ3</v>
      </c>
    </row>
    <row r="204" spans="1:17" ht="25.5">
      <c r="A204" t="str">
        <f t="shared" si="2"/>
        <v>Tier1_indor2_HZ3_efafCoolkwh</v>
      </c>
      <c r="B204" s="24" t="str">
        <f t="shared" si="4"/>
        <v>Tier1_indor2_HZ3_efaf</v>
      </c>
      <c r="C204" s="24" t="str">
        <f t="shared" si="7"/>
        <v>Coolkwh</v>
      </c>
      <c r="D204" s="25">
        <f t="shared" si="7"/>
        <v>0</v>
      </c>
      <c r="E204" s="25">
        <f t="shared" si="7"/>
        <v>13</v>
      </c>
      <c r="F204" s="25">
        <f t="shared" si="7"/>
        <v>0</v>
      </c>
      <c r="G204" s="25">
        <f t="shared" si="7"/>
        <v>0</v>
      </c>
      <c r="H204" s="24" t="str">
        <f t="shared" si="7"/>
        <v>ResCACPNW</v>
      </c>
      <c r="I204" s="24">
        <f t="shared" si="7"/>
        <v>-3.0001420000773384</v>
      </c>
      <c r="J204" s="24">
        <f t="shared" si="7"/>
        <v>0</v>
      </c>
      <c r="K204" s="24">
        <f t="shared" si="7"/>
        <v>0</v>
      </c>
      <c r="L204" s="24">
        <f t="shared" si="7"/>
        <v>0</v>
      </c>
      <c r="M204" s="24">
        <f t="shared" si="7"/>
        <v>0</v>
      </c>
      <c r="N204" s="24">
        <f t="shared" si="7"/>
        <v>0</v>
      </c>
      <c r="O204" s="24">
        <f t="shared" si="7"/>
        <v>0</v>
      </c>
      <c r="P204" s="24">
        <f t="shared" si="7"/>
        <v>0</v>
      </c>
      <c r="Q204" s="24" t="str">
        <f t="shared" si="7"/>
        <v/>
      </c>
    </row>
    <row r="205" spans="1:17">
      <c r="A205" t="str">
        <f t="shared" si="2"/>
        <v>Tier1_indor2_HZ3_hp85DHWkwh</v>
      </c>
      <c r="B205" s="24" t="str">
        <f t="shared" si="4"/>
        <v>Tier1_indor2_HZ3_hp85</v>
      </c>
      <c r="C205" s="24" t="str">
        <f t="shared" si="7"/>
        <v>DHWkwh</v>
      </c>
      <c r="D205" s="25">
        <f t="shared" si="7"/>
        <v>1326.5331893124023</v>
      </c>
      <c r="E205" s="25">
        <f t="shared" si="7"/>
        <v>13</v>
      </c>
      <c r="F205" s="25">
        <f t="shared" si="7"/>
        <v>724.5875237038573</v>
      </c>
      <c r="G205" s="25">
        <f t="shared" si="7"/>
        <v>0</v>
      </c>
      <c r="H205" s="24" t="str">
        <f t="shared" si="7"/>
        <v>ResDHW</v>
      </c>
      <c r="I205" s="24">
        <f t="shared" si="7"/>
        <v>-2.1813791972269616</v>
      </c>
      <c r="J205" s="24">
        <f t="shared" si="7"/>
        <v>0</v>
      </c>
      <c r="K205" s="24">
        <f t="shared" si="7"/>
        <v>0</v>
      </c>
      <c r="L205" s="24">
        <f t="shared" si="7"/>
        <v>0</v>
      </c>
      <c r="M205" s="24">
        <f t="shared" si="7"/>
        <v>0</v>
      </c>
      <c r="N205" s="24">
        <f t="shared" si="7"/>
        <v>0</v>
      </c>
      <c r="O205" s="24">
        <f t="shared" si="7"/>
        <v>0</v>
      </c>
      <c r="P205" s="24">
        <f t="shared" si="7"/>
        <v>0</v>
      </c>
      <c r="Q205" s="24" t="str">
        <f t="shared" si="7"/>
        <v/>
      </c>
    </row>
    <row r="206" spans="1:17" ht="25.5">
      <c r="A206" t="str">
        <f t="shared" si="2"/>
        <v>Tier1_indor2_HZ3_hp85Heatkwh</v>
      </c>
      <c r="B206" s="24" t="str">
        <f t="shared" si="4"/>
        <v>Tier1_indor2_HZ3_hp85</v>
      </c>
      <c r="C206" s="24" t="str">
        <f t="shared" si="7"/>
        <v>Heatkwh</v>
      </c>
      <c r="D206" s="25">
        <f t="shared" si="7"/>
        <v>-218.72682383511753</v>
      </c>
      <c r="E206" s="25">
        <f t="shared" si="7"/>
        <v>13</v>
      </c>
      <c r="F206" s="25">
        <f t="shared" si="7"/>
        <v>0</v>
      </c>
      <c r="G206" s="25">
        <f t="shared" si="7"/>
        <v>0</v>
      </c>
      <c r="H206" s="24" t="str">
        <f t="shared" si="7"/>
        <v>ResSpHtHPZ3</v>
      </c>
      <c r="I206" s="24">
        <f t="shared" si="7"/>
        <v>-2.1813791972269616</v>
      </c>
      <c r="J206" s="24">
        <f t="shared" si="7"/>
        <v>0</v>
      </c>
      <c r="K206" s="24">
        <f t="shared" si="7"/>
        <v>0</v>
      </c>
      <c r="L206" s="24">
        <f t="shared" si="7"/>
        <v>0</v>
      </c>
      <c r="M206" s="24">
        <f t="shared" si="7"/>
        <v>0</v>
      </c>
      <c r="N206" s="24">
        <f t="shared" si="7"/>
        <v>0</v>
      </c>
      <c r="O206" s="24">
        <f t="shared" si="7"/>
        <v>0</v>
      </c>
      <c r="P206" s="24">
        <f t="shared" si="7"/>
        <v>-0.16410594605784717</v>
      </c>
      <c r="Q206" s="24" t="str">
        <f t="shared" si="7"/>
        <v>ResSpHtHPZ3</v>
      </c>
    </row>
    <row r="207" spans="1:17" ht="25.5">
      <c r="A207" t="str">
        <f t="shared" si="2"/>
        <v>Tier1_indor2_HZ3_hp85Coolkwh</v>
      </c>
      <c r="B207" s="24" t="str">
        <f t="shared" si="4"/>
        <v>Tier1_indor2_HZ3_hp85</v>
      </c>
      <c r="C207" s="24" t="str">
        <f t="shared" si="7"/>
        <v>Coolkwh</v>
      </c>
      <c r="D207" s="25">
        <f t="shared" si="7"/>
        <v>35.493788701617497</v>
      </c>
      <c r="E207" s="25">
        <f t="shared" si="7"/>
        <v>13</v>
      </c>
      <c r="F207" s="25">
        <f t="shared" si="7"/>
        <v>0</v>
      </c>
      <c r="G207" s="25">
        <f t="shared" si="7"/>
        <v>0</v>
      </c>
      <c r="H207" s="24" t="str">
        <f t="shared" si="7"/>
        <v>ResCACPNW</v>
      </c>
      <c r="I207" s="24">
        <f t="shared" si="7"/>
        <v>-2.1813791972269616</v>
      </c>
      <c r="J207" s="24">
        <f t="shared" si="7"/>
        <v>0</v>
      </c>
      <c r="K207" s="24">
        <f t="shared" si="7"/>
        <v>0</v>
      </c>
      <c r="L207" s="24">
        <f t="shared" si="7"/>
        <v>0</v>
      </c>
      <c r="M207" s="24">
        <f t="shared" si="7"/>
        <v>0</v>
      </c>
      <c r="N207" s="24">
        <f t="shared" si="7"/>
        <v>0</v>
      </c>
      <c r="O207" s="24">
        <f t="shared" si="7"/>
        <v>0</v>
      </c>
      <c r="P207" s="24">
        <f t="shared" si="7"/>
        <v>0</v>
      </c>
      <c r="Q207" s="24" t="str">
        <f t="shared" si="7"/>
        <v/>
      </c>
    </row>
    <row r="208" spans="1:17">
      <c r="A208" t="str">
        <f t="shared" si="2"/>
        <v>Tier1_indor2_HZ3_zonlDHWkwh</v>
      </c>
      <c r="B208" s="24" t="str">
        <f t="shared" si="4"/>
        <v>Tier1_indor2_HZ3_zonl</v>
      </c>
      <c r="C208" s="24" t="str">
        <f t="shared" si="7"/>
        <v>DHWkwh</v>
      </c>
      <c r="D208" s="25">
        <f t="shared" si="7"/>
        <v>1340.4399211661482</v>
      </c>
      <c r="E208" s="25">
        <f t="shared" si="7"/>
        <v>13</v>
      </c>
      <c r="F208" s="25">
        <f t="shared" si="7"/>
        <v>724.5875237038573</v>
      </c>
      <c r="G208" s="25">
        <f t="shared" si="7"/>
        <v>0</v>
      </c>
      <c r="H208" s="24" t="str">
        <f t="shared" si="7"/>
        <v>ResDHW</v>
      </c>
      <c r="I208" s="24">
        <f t="shared" si="7"/>
        <v>-2.6596515633039379</v>
      </c>
      <c r="J208" s="24">
        <f t="shared" si="7"/>
        <v>0</v>
      </c>
      <c r="K208" s="24">
        <f t="shared" si="7"/>
        <v>0</v>
      </c>
      <c r="L208" s="24">
        <f t="shared" si="7"/>
        <v>0</v>
      </c>
      <c r="M208" s="24">
        <f t="shared" si="7"/>
        <v>0</v>
      </c>
      <c r="N208" s="24">
        <f t="shared" si="7"/>
        <v>0</v>
      </c>
      <c r="O208" s="24">
        <f t="shared" si="7"/>
        <v>0</v>
      </c>
      <c r="P208" s="24">
        <f t="shared" si="7"/>
        <v>0</v>
      </c>
      <c r="Q208" s="24" t="str">
        <f t="shared" si="7"/>
        <v/>
      </c>
    </row>
    <row r="209" spans="1:17" ht="25.5">
      <c r="A209" t="str">
        <f t="shared" si="2"/>
        <v>Tier1_indor2_HZ3_zonlHeatkwh</v>
      </c>
      <c r="B209" s="24" t="str">
        <f t="shared" si="4"/>
        <v>Tier1_indor2_HZ3_zonl</v>
      </c>
      <c r="C209" s="24" t="str">
        <f t="shared" ref="C209:Q212" si="8">C68</f>
        <v>Heatkwh</v>
      </c>
      <c r="D209" s="25">
        <f t="shared" si="8"/>
        <v>-266.68317901312065</v>
      </c>
      <c r="E209" s="25">
        <f t="shared" si="8"/>
        <v>13</v>
      </c>
      <c r="F209" s="25">
        <f t="shared" si="8"/>
        <v>0</v>
      </c>
      <c r="G209" s="25">
        <f t="shared" si="8"/>
        <v>0</v>
      </c>
      <c r="H209" s="24" t="str">
        <f t="shared" si="8"/>
        <v>ResSpHtBBZ3</v>
      </c>
      <c r="I209" s="24">
        <f t="shared" si="8"/>
        <v>-2.6596515633039379</v>
      </c>
      <c r="J209" s="24">
        <f t="shared" si="8"/>
        <v>0</v>
      </c>
      <c r="K209" s="24">
        <f t="shared" si="8"/>
        <v>0</v>
      </c>
      <c r="L209" s="24">
        <f t="shared" si="8"/>
        <v>0</v>
      </c>
      <c r="M209" s="24">
        <f t="shared" si="8"/>
        <v>0</v>
      </c>
      <c r="N209" s="24">
        <f t="shared" si="8"/>
        <v>0</v>
      </c>
      <c r="O209" s="24">
        <f t="shared" si="8"/>
        <v>0</v>
      </c>
      <c r="P209" s="24">
        <f t="shared" si="8"/>
        <v>-0.2000865491589324</v>
      </c>
      <c r="Q209" s="24" t="str">
        <f t="shared" si="8"/>
        <v>ResSpHtBBZ3</v>
      </c>
    </row>
    <row r="210" spans="1:17" ht="25.5">
      <c r="A210" t="str">
        <f t="shared" si="2"/>
        <v>Tier1_indor2_HZ3_zonlCoolkwh</v>
      </c>
      <c r="B210" s="24" t="str">
        <f t="shared" si="4"/>
        <v>Tier1_indor2_HZ3_zonl</v>
      </c>
      <c r="C210" s="24" t="str">
        <f t="shared" si="8"/>
        <v>Coolkwh</v>
      </c>
      <c r="D210" s="25">
        <f t="shared" si="8"/>
        <v>0</v>
      </c>
      <c r="E210" s="25">
        <f t="shared" si="8"/>
        <v>13</v>
      </c>
      <c r="F210" s="25">
        <f t="shared" si="8"/>
        <v>0</v>
      </c>
      <c r="G210" s="25">
        <f t="shared" si="8"/>
        <v>0</v>
      </c>
      <c r="H210" s="24" t="str">
        <f t="shared" si="8"/>
        <v>ResCACPNW</v>
      </c>
      <c r="I210" s="24">
        <f t="shared" si="8"/>
        <v>-2.6596515633039379</v>
      </c>
      <c r="J210" s="24">
        <f t="shared" si="8"/>
        <v>0</v>
      </c>
      <c r="K210" s="24">
        <f t="shared" si="8"/>
        <v>0</v>
      </c>
      <c r="L210" s="24">
        <f t="shared" si="8"/>
        <v>0</v>
      </c>
      <c r="M210" s="24">
        <f t="shared" si="8"/>
        <v>0</v>
      </c>
      <c r="N210" s="24">
        <f t="shared" si="8"/>
        <v>0</v>
      </c>
      <c r="O210" s="24">
        <f t="shared" si="8"/>
        <v>0</v>
      </c>
      <c r="P210" s="24">
        <f t="shared" si="8"/>
        <v>0</v>
      </c>
      <c r="Q210" s="24" t="str">
        <f t="shared" si="8"/>
        <v/>
      </c>
    </row>
    <row r="211" spans="1:17">
      <c r="A211" t="str">
        <f t="shared" si="2"/>
        <v>Tier2_garage_HZ1DHWkwh</v>
      </c>
      <c r="B211" s="24" t="str">
        <f t="shared" si="4"/>
        <v>Tier2_garage_HZ1</v>
      </c>
      <c r="C211" s="24" t="str">
        <f t="shared" si="8"/>
        <v>DHWkwh</v>
      </c>
      <c r="D211" s="25">
        <f t="shared" ref="D211:D242" si="9">D70-D148</f>
        <v>203.29701772166254</v>
      </c>
      <c r="E211" s="25">
        <f t="shared" si="8"/>
        <v>13</v>
      </c>
      <c r="F211" s="25">
        <f t="shared" ref="F211:G230" si="10">F70-F148</f>
        <v>1183.5005381933265</v>
      </c>
      <c r="G211" s="25">
        <f t="shared" si="10"/>
        <v>0</v>
      </c>
      <c r="H211" s="24" t="str">
        <f t="shared" si="8"/>
        <v>ResDHW</v>
      </c>
      <c r="I211" s="26">
        <f t="shared" ref="I211:J230" si="11">I70-I148</f>
        <v>0</v>
      </c>
      <c r="J211" s="26">
        <f t="shared" si="11"/>
        <v>0</v>
      </c>
      <c r="K211" s="24">
        <f t="shared" si="8"/>
        <v>0</v>
      </c>
      <c r="L211" s="26">
        <f t="shared" ref="L211:L242" si="12">L70-L148</f>
        <v>0</v>
      </c>
      <c r="M211" s="24">
        <f t="shared" si="8"/>
        <v>0</v>
      </c>
      <c r="N211" s="26">
        <f t="shared" ref="N211:N242" si="13">N70-N148</f>
        <v>0</v>
      </c>
      <c r="O211" s="24">
        <f t="shared" si="8"/>
        <v>0</v>
      </c>
      <c r="P211" s="26">
        <f t="shared" ref="P211:P242" si="14">P70-P148</f>
        <v>0</v>
      </c>
      <c r="Q211" s="24" t="str">
        <f t="shared" si="8"/>
        <v/>
      </c>
    </row>
    <row r="212" spans="1:17" ht="25.5">
      <c r="A212" t="str">
        <f t="shared" ref="A212:A273" si="15">B212&amp;C212</f>
        <v>Tier2_garage_HZ1Heatkwh</v>
      </c>
      <c r="B212" s="24" t="str">
        <f t="shared" si="4"/>
        <v>Tier2_garage_HZ1</v>
      </c>
      <c r="C212" s="24" t="str">
        <f t="shared" si="8"/>
        <v>Heatkwh</v>
      </c>
      <c r="D212" s="25">
        <f t="shared" si="9"/>
        <v>0</v>
      </c>
      <c r="E212" s="25">
        <f t="shared" si="8"/>
        <v>13</v>
      </c>
      <c r="F212" s="25">
        <f t="shared" si="10"/>
        <v>0</v>
      </c>
      <c r="G212" s="25">
        <f t="shared" si="10"/>
        <v>0</v>
      </c>
      <c r="H212" s="24" t="str">
        <f t="shared" si="8"/>
        <v>ResSpHtFAFZ1</v>
      </c>
      <c r="I212" s="26">
        <f t="shared" si="11"/>
        <v>0</v>
      </c>
      <c r="J212" s="26">
        <f t="shared" si="11"/>
        <v>0</v>
      </c>
      <c r="K212" s="24">
        <f t="shared" si="8"/>
        <v>0</v>
      </c>
      <c r="L212" s="26">
        <f t="shared" si="12"/>
        <v>0</v>
      </c>
      <c r="M212" s="24">
        <f t="shared" si="8"/>
        <v>0</v>
      </c>
      <c r="N212" s="26">
        <f t="shared" si="13"/>
        <v>0</v>
      </c>
      <c r="O212" s="24">
        <f t="shared" si="8"/>
        <v>0</v>
      </c>
      <c r="P212" s="26">
        <f t="shared" si="14"/>
        <v>0</v>
      </c>
      <c r="Q212" s="24" t="str">
        <f t="shared" si="8"/>
        <v/>
      </c>
    </row>
    <row r="213" spans="1:17" ht="25.5">
      <c r="A213" t="str">
        <f t="shared" si="15"/>
        <v>Tier2_garage_HZ1Coolkwh</v>
      </c>
      <c r="B213" s="24" t="str">
        <f t="shared" ref="B213:C225" si="16">B72</f>
        <v>Tier2_garage_HZ1</v>
      </c>
      <c r="C213" s="24" t="str">
        <f t="shared" si="16"/>
        <v>Coolkwh</v>
      </c>
      <c r="D213" s="25">
        <f t="shared" si="9"/>
        <v>0</v>
      </c>
      <c r="E213" s="25">
        <f t="shared" ref="E213:E225" si="17">E72</f>
        <v>13</v>
      </c>
      <c r="F213" s="25">
        <f t="shared" si="10"/>
        <v>0</v>
      </c>
      <c r="G213" s="25">
        <f t="shared" si="10"/>
        <v>0</v>
      </c>
      <c r="H213" s="24" t="str">
        <f t="shared" ref="H213:H225" si="18">H72</f>
        <v>ResCACPNW</v>
      </c>
      <c r="I213" s="26">
        <f t="shared" si="11"/>
        <v>0</v>
      </c>
      <c r="J213" s="26">
        <f t="shared" si="11"/>
        <v>0</v>
      </c>
      <c r="K213" s="24">
        <f t="shared" ref="K213:K225" si="19">K72</f>
        <v>0</v>
      </c>
      <c r="L213" s="26">
        <f t="shared" si="12"/>
        <v>0</v>
      </c>
      <c r="M213" s="24">
        <f t="shared" ref="M213:M225" si="20">M72</f>
        <v>0</v>
      </c>
      <c r="N213" s="26">
        <f t="shared" si="13"/>
        <v>0</v>
      </c>
      <c r="O213" s="24">
        <f t="shared" ref="O213:O224" si="21">O72</f>
        <v>0</v>
      </c>
      <c r="P213" s="26">
        <f t="shared" si="14"/>
        <v>0</v>
      </c>
      <c r="Q213" s="24" t="str">
        <f t="shared" ref="Q213:Q224" si="22">Q72</f>
        <v/>
      </c>
    </row>
    <row r="214" spans="1:17">
      <c r="A214" t="str">
        <f t="shared" si="15"/>
        <v>Tier2_garage_HZ2DHWkwh</v>
      </c>
      <c r="B214" s="24" t="str">
        <f t="shared" si="16"/>
        <v>Tier2_garage_HZ2</v>
      </c>
      <c r="C214" s="24" t="str">
        <f t="shared" si="16"/>
        <v>DHWkwh</v>
      </c>
      <c r="D214" s="25">
        <f t="shared" si="9"/>
        <v>405.41692570786734</v>
      </c>
      <c r="E214" s="25">
        <f t="shared" si="17"/>
        <v>13</v>
      </c>
      <c r="F214" s="25">
        <f t="shared" si="10"/>
        <v>1183.5005381933265</v>
      </c>
      <c r="G214" s="25">
        <f t="shared" si="10"/>
        <v>0</v>
      </c>
      <c r="H214" s="24" t="str">
        <f t="shared" si="18"/>
        <v>ResDHW</v>
      </c>
      <c r="I214" s="26">
        <f t="shared" si="11"/>
        <v>0</v>
      </c>
      <c r="J214" s="26">
        <f t="shared" si="11"/>
        <v>0</v>
      </c>
      <c r="K214" s="24">
        <f t="shared" si="19"/>
        <v>0</v>
      </c>
      <c r="L214" s="26">
        <f t="shared" si="12"/>
        <v>0</v>
      </c>
      <c r="M214" s="24">
        <f t="shared" si="20"/>
        <v>0</v>
      </c>
      <c r="N214" s="26">
        <f t="shared" si="13"/>
        <v>0</v>
      </c>
      <c r="O214" s="24">
        <f t="shared" si="21"/>
        <v>0</v>
      </c>
      <c r="P214" s="26">
        <f t="shared" si="14"/>
        <v>0</v>
      </c>
      <c r="Q214" s="24" t="str">
        <f t="shared" si="22"/>
        <v/>
      </c>
    </row>
    <row r="215" spans="1:17" ht="25.5">
      <c r="A215" t="str">
        <f t="shared" si="15"/>
        <v>Tier2_garage_HZ2Heatkwh</v>
      </c>
      <c r="B215" s="24" t="str">
        <f t="shared" si="16"/>
        <v>Tier2_garage_HZ2</v>
      </c>
      <c r="C215" s="24" t="str">
        <f t="shared" si="16"/>
        <v>Heatkwh</v>
      </c>
      <c r="D215" s="25">
        <f t="shared" si="9"/>
        <v>0</v>
      </c>
      <c r="E215" s="25">
        <f t="shared" si="17"/>
        <v>13</v>
      </c>
      <c r="F215" s="25">
        <f t="shared" si="10"/>
        <v>0</v>
      </c>
      <c r="G215" s="25">
        <f t="shared" si="10"/>
        <v>0</v>
      </c>
      <c r="H215" s="24" t="str">
        <f t="shared" si="18"/>
        <v>ResSpHtFAFZ2</v>
      </c>
      <c r="I215" s="26">
        <f t="shared" si="11"/>
        <v>0</v>
      </c>
      <c r="J215" s="26">
        <f t="shared" si="11"/>
        <v>0</v>
      </c>
      <c r="K215" s="24">
        <f t="shared" si="19"/>
        <v>0</v>
      </c>
      <c r="L215" s="26">
        <f t="shared" si="12"/>
        <v>0</v>
      </c>
      <c r="M215" s="24">
        <f t="shared" si="20"/>
        <v>0</v>
      </c>
      <c r="N215" s="26">
        <f t="shared" si="13"/>
        <v>0</v>
      </c>
      <c r="O215" s="24">
        <f t="shared" si="21"/>
        <v>0</v>
      </c>
      <c r="P215" s="26">
        <f t="shared" si="14"/>
        <v>0</v>
      </c>
      <c r="Q215" s="24" t="str">
        <f t="shared" si="22"/>
        <v/>
      </c>
    </row>
    <row r="216" spans="1:17" ht="25.5">
      <c r="A216" t="str">
        <f t="shared" si="15"/>
        <v>Tier2_garage_HZ2Coolkwh</v>
      </c>
      <c r="B216" s="24" t="str">
        <f t="shared" si="16"/>
        <v>Tier2_garage_HZ2</v>
      </c>
      <c r="C216" s="24" t="str">
        <f t="shared" si="16"/>
        <v>Coolkwh</v>
      </c>
      <c r="D216" s="25">
        <f t="shared" si="9"/>
        <v>0</v>
      </c>
      <c r="E216" s="25">
        <f t="shared" si="17"/>
        <v>13</v>
      </c>
      <c r="F216" s="25">
        <f t="shared" si="10"/>
        <v>0</v>
      </c>
      <c r="G216" s="25">
        <f t="shared" si="10"/>
        <v>0</v>
      </c>
      <c r="H216" s="24" t="str">
        <f t="shared" si="18"/>
        <v>ResCACPNW</v>
      </c>
      <c r="I216" s="26">
        <f t="shared" si="11"/>
        <v>0</v>
      </c>
      <c r="J216" s="26">
        <f t="shared" si="11"/>
        <v>0</v>
      </c>
      <c r="K216" s="24">
        <f t="shared" si="19"/>
        <v>0</v>
      </c>
      <c r="L216" s="26">
        <f t="shared" si="12"/>
        <v>0</v>
      </c>
      <c r="M216" s="24">
        <f t="shared" si="20"/>
        <v>0</v>
      </c>
      <c r="N216" s="26">
        <f t="shared" si="13"/>
        <v>0</v>
      </c>
      <c r="O216" s="24">
        <f t="shared" si="21"/>
        <v>0</v>
      </c>
      <c r="P216" s="26">
        <f t="shared" si="14"/>
        <v>0</v>
      </c>
      <c r="Q216" s="24" t="str">
        <f t="shared" si="22"/>
        <v/>
      </c>
    </row>
    <row r="217" spans="1:17">
      <c r="A217" t="str">
        <f t="shared" si="15"/>
        <v>Tier2_garage_HZ3DHWkwh</v>
      </c>
      <c r="B217" s="24" t="str">
        <f t="shared" si="16"/>
        <v>Tier2_garage_HZ3</v>
      </c>
      <c r="C217" s="24" t="str">
        <f t="shared" si="16"/>
        <v>DHWkwh</v>
      </c>
      <c r="D217" s="25">
        <f t="shared" si="9"/>
        <v>579.20238702396148</v>
      </c>
      <c r="E217" s="25">
        <f t="shared" si="17"/>
        <v>13</v>
      </c>
      <c r="F217" s="25">
        <f t="shared" si="10"/>
        <v>1183.5005381933265</v>
      </c>
      <c r="G217" s="25">
        <f t="shared" si="10"/>
        <v>0</v>
      </c>
      <c r="H217" s="24" t="str">
        <f t="shared" si="18"/>
        <v>ResDHW</v>
      </c>
      <c r="I217" s="26">
        <f t="shared" si="11"/>
        <v>0</v>
      </c>
      <c r="J217" s="26">
        <f t="shared" si="11"/>
        <v>0</v>
      </c>
      <c r="K217" s="24">
        <f t="shared" si="19"/>
        <v>0</v>
      </c>
      <c r="L217" s="26">
        <f t="shared" si="12"/>
        <v>0</v>
      </c>
      <c r="M217" s="24">
        <f t="shared" si="20"/>
        <v>0</v>
      </c>
      <c r="N217" s="26">
        <f t="shared" si="13"/>
        <v>0</v>
      </c>
      <c r="O217" s="24">
        <f t="shared" si="21"/>
        <v>0</v>
      </c>
      <c r="P217" s="26">
        <f t="shared" si="14"/>
        <v>0</v>
      </c>
      <c r="Q217" s="24" t="str">
        <f t="shared" si="22"/>
        <v/>
      </c>
    </row>
    <row r="218" spans="1:17" ht="25.5">
      <c r="A218" t="str">
        <f t="shared" si="15"/>
        <v>Tier2_garage_HZ3Heatkwh</v>
      </c>
      <c r="B218" s="24" t="str">
        <f t="shared" si="16"/>
        <v>Tier2_garage_HZ3</v>
      </c>
      <c r="C218" s="24" t="str">
        <f t="shared" si="16"/>
        <v>Heatkwh</v>
      </c>
      <c r="D218" s="25">
        <f t="shared" si="9"/>
        <v>0</v>
      </c>
      <c r="E218" s="25">
        <f t="shared" si="17"/>
        <v>13</v>
      </c>
      <c r="F218" s="25">
        <f t="shared" si="10"/>
        <v>0</v>
      </c>
      <c r="G218" s="25">
        <f t="shared" si="10"/>
        <v>0</v>
      </c>
      <c r="H218" s="24" t="str">
        <f t="shared" si="18"/>
        <v>ResSpHtFAFZ3</v>
      </c>
      <c r="I218" s="26">
        <f t="shared" si="11"/>
        <v>0</v>
      </c>
      <c r="J218" s="26">
        <f t="shared" si="11"/>
        <v>0</v>
      </c>
      <c r="K218" s="24">
        <f t="shared" si="19"/>
        <v>0</v>
      </c>
      <c r="L218" s="26">
        <f t="shared" si="12"/>
        <v>0</v>
      </c>
      <c r="M218" s="24">
        <f t="shared" si="20"/>
        <v>0</v>
      </c>
      <c r="N218" s="26">
        <f t="shared" si="13"/>
        <v>0</v>
      </c>
      <c r="O218" s="24">
        <f t="shared" si="21"/>
        <v>0</v>
      </c>
      <c r="P218" s="26">
        <f t="shared" si="14"/>
        <v>0</v>
      </c>
      <c r="Q218" s="24" t="str">
        <f t="shared" si="22"/>
        <v/>
      </c>
    </row>
    <row r="219" spans="1:17" ht="25.5">
      <c r="A219" t="str">
        <f t="shared" si="15"/>
        <v>Tier2_garage_HZ3Coolkwh</v>
      </c>
      <c r="B219" s="24" t="str">
        <f t="shared" si="16"/>
        <v>Tier2_garage_HZ3</v>
      </c>
      <c r="C219" s="24" t="str">
        <f t="shared" si="16"/>
        <v>Coolkwh</v>
      </c>
      <c r="D219" s="25">
        <f t="shared" si="9"/>
        <v>0</v>
      </c>
      <c r="E219" s="25">
        <f t="shared" si="17"/>
        <v>13</v>
      </c>
      <c r="F219" s="25">
        <f t="shared" si="10"/>
        <v>0</v>
      </c>
      <c r="G219" s="25">
        <f t="shared" si="10"/>
        <v>0</v>
      </c>
      <c r="H219" s="24" t="str">
        <f t="shared" si="18"/>
        <v>ResCACPNW</v>
      </c>
      <c r="I219" s="26">
        <f t="shared" si="11"/>
        <v>0</v>
      </c>
      <c r="J219" s="26">
        <f t="shared" si="11"/>
        <v>0</v>
      </c>
      <c r="K219" s="24">
        <f t="shared" si="19"/>
        <v>0</v>
      </c>
      <c r="L219" s="26">
        <f t="shared" si="12"/>
        <v>0</v>
      </c>
      <c r="M219" s="24">
        <f t="shared" si="20"/>
        <v>0</v>
      </c>
      <c r="N219" s="26">
        <f t="shared" si="13"/>
        <v>0</v>
      </c>
      <c r="O219" s="24">
        <f t="shared" si="21"/>
        <v>0</v>
      </c>
      <c r="P219" s="26">
        <f t="shared" si="14"/>
        <v>0</v>
      </c>
      <c r="Q219" s="24" t="str">
        <f t="shared" si="22"/>
        <v/>
      </c>
    </row>
    <row r="220" spans="1:17">
      <c r="A220" t="str">
        <f t="shared" si="15"/>
        <v>Tier2_basmnt_HZ1DHWkwh</v>
      </c>
      <c r="B220" s="24" t="str">
        <f t="shared" si="16"/>
        <v>Tier2_basmnt_HZ1</v>
      </c>
      <c r="C220" s="24" t="str">
        <f t="shared" si="16"/>
        <v>DHWkwh</v>
      </c>
      <c r="D220" s="25">
        <f t="shared" si="9"/>
        <v>106.769713342552</v>
      </c>
      <c r="E220" s="25">
        <f t="shared" si="17"/>
        <v>13</v>
      </c>
      <c r="F220" s="25">
        <f t="shared" si="10"/>
        <v>1183.5005381933265</v>
      </c>
      <c r="G220" s="25">
        <f t="shared" si="10"/>
        <v>0</v>
      </c>
      <c r="H220" s="24" t="str">
        <f t="shared" si="18"/>
        <v>ResDHW</v>
      </c>
      <c r="I220" s="26">
        <f t="shared" si="11"/>
        <v>0</v>
      </c>
      <c r="J220" s="26">
        <f t="shared" si="11"/>
        <v>0</v>
      </c>
      <c r="K220" s="24">
        <f t="shared" si="19"/>
        <v>0</v>
      </c>
      <c r="L220" s="26">
        <f t="shared" si="12"/>
        <v>0</v>
      </c>
      <c r="M220" s="24">
        <f t="shared" si="20"/>
        <v>0</v>
      </c>
      <c r="N220" s="26">
        <f t="shared" si="13"/>
        <v>0</v>
      </c>
      <c r="O220" s="24">
        <f t="shared" si="21"/>
        <v>0</v>
      </c>
      <c r="P220" s="26">
        <f t="shared" si="14"/>
        <v>0</v>
      </c>
      <c r="Q220" s="24" t="str">
        <f t="shared" si="22"/>
        <v/>
      </c>
    </row>
    <row r="221" spans="1:17" ht="25.5">
      <c r="A221" t="str">
        <f t="shared" si="15"/>
        <v>Tier2_basmnt_HZ1Heatkwh</v>
      </c>
      <c r="B221" s="24" t="str">
        <f t="shared" si="16"/>
        <v>Tier2_basmnt_HZ1</v>
      </c>
      <c r="C221" s="24" t="str">
        <f t="shared" si="16"/>
        <v>Heatkwh</v>
      </c>
      <c r="D221" s="25">
        <f t="shared" si="9"/>
        <v>0</v>
      </c>
      <c r="E221" s="25">
        <f t="shared" si="17"/>
        <v>13</v>
      </c>
      <c r="F221" s="25">
        <f t="shared" si="10"/>
        <v>0</v>
      </c>
      <c r="G221" s="25">
        <f t="shared" si="10"/>
        <v>0</v>
      </c>
      <c r="H221" s="24" t="str">
        <f t="shared" si="18"/>
        <v>ResSpHtFAFZ1</v>
      </c>
      <c r="I221" s="26">
        <f t="shared" si="11"/>
        <v>0</v>
      </c>
      <c r="J221" s="26">
        <f t="shared" si="11"/>
        <v>0</v>
      </c>
      <c r="K221" s="24">
        <f t="shared" si="19"/>
        <v>0</v>
      </c>
      <c r="L221" s="26">
        <f t="shared" si="12"/>
        <v>0</v>
      </c>
      <c r="M221" s="24">
        <f t="shared" si="20"/>
        <v>0</v>
      </c>
      <c r="N221" s="26">
        <f t="shared" si="13"/>
        <v>0</v>
      </c>
      <c r="O221" s="24">
        <f t="shared" si="21"/>
        <v>0</v>
      </c>
      <c r="P221" s="26">
        <f t="shared" si="14"/>
        <v>0</v>
      </c>
      <c r="Q221" s="24" t="str">
        <f t="shared" si="22"/>
        <v/>
      </c>
    </row>
    <row r="222" spans="1:17" ht="25.5">
      <c r="A222" t="str">
        <f t="shared" si="15"/>
        <v>Tier2_basmnt_HZ1Coolkwh</v>
      </c>
      <c r="B222" s="24" t="str">
        <f t="shared" si="16"/>
        <v>Tier2_basmnt_HZ1</v>
      </c>
      <c r="C222" s="24" t="str">
        <f t="shared" si="16"/>
        <v>Coolkwh</v>
      </c>
      <c r="D222" s="25">
        <f t="shared" si="9"/>
        <v>0</v>
      </c>
      <c r="E222" s="25">
        <f t="shared" si="17"/>
        <v>13</v>
      </c>
      <c r="F222" s="25">
        <f t="shared" si="10"/>
        <v>0</v>
      </c>
      <c r="G222" s="25">
        <f t="shared" si="10"/>
        <v>0</v>
      </c>
      <c r="H222" s="24" t="str">
        <f t="shared" si="18"/>
        <v>ResCACPNW</v>
      </c>
      <c r="I222" s="26">
        <f t="shared" si="11"/>
        <v>0</v>
      </c>
      <c r="J222" s="26">
        <f t="shared" si="11"/>
        <v>0</v>
      </c>
      <c r="K222" s="24">
        <f t="shared" si="19"/>
        <v>0</v>
      </c>
      <c r="L222" s="26">
        <f t="shared" si="12"/>
        <v>0</v>
      </c>
      <c r="M222" s="24">
        <f t="shared" si="20"/>
        <v>0</v>
      </c>
      <c r="N222" s="26">
        <f t="shared" si="13"/>
        <v>0</v>
      </c>
      <c r="O222" s="24">
        <f t="shared" si="21"/>
        <v>0</v>
      </c>
      <c r="P222" s="26">
        <f t="shared" si="14"/>
        <v>0</v>
      </c>
      <c r="Q222" s="24" t="str">
        <f t="shared" si="22"/>
        <v/>
      </c>
    </row>
    <row r="223" spans="1:17">
      <c r="A223" t="str">
        <f t="shared" si="15"/>
        <v>Tier2_basmnt_HZ2DHWkwh</v>
      </c>
      <c r="B223" s="24" t="str">
        <f t="shared" si="16"/>
        <v>Tier2_basmnt_HZ2</v>
      </c>
      <c r="C223" s="24" t="str">
        <f t="shared" si="16"/>
        <v>DHWkwh</v>
      </c>
      <c r="D223" s="25">
        <f t="shared" si="9"/>
        <v>111.9615453464703</v>
      </c>
      <c r="E223" s="25">
        <f t="shared" si="17"/>
        <v>13</v>
      </c>
      <c r="F223" s="25">
        <f t="shared" si="10"/>
        <v>1183.5005381933265</v>
      </c>
      <c r="G223" s="25">
        <f t="shared" si="10"/>
        <v>0</v>
      </c>
      <c r="H223" s="24" t="str">
        <f t="shared" si="18"/>
        <v>ResDHW</v>
      </c>
      <c r="I223" s="26">
        <f t="shared" si="11"/>
        <v>0</v>
      </c>
      <c r="J223" s="26">
        <f t="shared" si="11"/>
        <v>0</v>
      </c>
      <c r="K223" s="24">
        <f t="shared" si="19"/>
        <v>0</v>
      </c>
      <c r="L223" s="26">
        <f t="shared" si="12"/>
        <v>0</v>
      </c>
      <c r="M223" s="24">
        <f t="shared" si="20"/>
        <v>0</v>
      </c>
      <c r="N223" s="26">
        <f t="shared" si="13"/>
        <v>0</v>
      </c>
      <c r="O223" s="24">
        <f t="shared" si="21"/>
        <v>0</v>
      </c>
      <c r="P223" s="26">
        <f t="shared" si="14"/>
        <v>0</v>
      </c>
      <c r="Q223" s="24" t="str">
        <f t="shared" si="22"/>
        <v/>
      </c>
    </row>
    <row r="224" spans="1:17" ht="25.5">
      <c r="A224" t="str">
        <f t="shared" si="15"/>
        <v>Tier2_basmnt_HZ2Heatkwh</v>
      </c>
      <c r="B224" s="24" t="str">
        <f t="shared" si="16"/>
        <v>Tier2_basmnt_HZ2</v>
      </c>
      <c r="C224" s="24" t="str">
        <f t="shared" si="16"/>
        <v>Heatkwh</v>
      </c>
      <c r="D224" s="25">
        <f t="shared" si="9"/>
        <v>0</v>
      </c>
      <c r="E224" s="25">
        <f t="shared" si="17"/>
        <v>13</v>
      </c>
      <c r="F224" s="25">
        <f t="shared" si="10"/>
        <v>0</v>
      </c>
      <c r="G224" s="25">
        <f t="shared" si="10"/>
        <v>0</v>
      </c>
      <c r="H224" s="24" t="str">
        <f t="shared" si="18"/>
        <v>ResSpHtFAFZ2</v>
      </c>
      <c r="I224" s="26">
        <f t="shared" si="11"/>
        <v>0</v>
      </c>
      <c r="J224" s="26">
        <f t="shared" si="11"/>
        <v>0</v>
      </c>
      <c r="K224" s="24">
        <f t="shared" si="19"/>
        <v>0</v>
      </c>
      <c r="L224" s="26">
        <f t="shared" si="12"/>
        <v>0</v>
      </c>
      <c r="M224" s="24">
        <f t="shared" si="20"/>
        <v>0</v>
      </c>
      <c r="N224" s="26">
        <f t="shared" si="13"/>
        <v>0</v>
      </c>
      <c r="O224" s="24">
        <f t="shared" si="21"/>
        <v>0</v>
      </c>
      <c r="P224" s="26">
        <f t="shared" si="14"/>
        <v>0</v>
      </c>
      <c r="Q224" s="24" t="str">
        <f t="shared" si="22"/>
        <v/>
      </c>
    </row>
    <row r="225" spans="1:17" ht="25.5">
      <c r="A225" t="str">
        <f t="shared" si="15"/>
        <v>Tier2_basmnt_HZ2Coolkwh</v>
      </c>
      <c r="B225" s="24" t="str">
        <f t="shared" si="16"/>
        <v>Tier2_basmnt_HZ2</v>
      </c>
      <c r="C225" s="24" t="str">
        <f t="shared" si="16"/>
        <v>Coolkwh</v>
      </c>
      <c r="D225" s="25">
        <f t="shared" si="9"/>
        <v>0</v>
      </c>
      <c r="E225" s="25">
        <f t="shared" si="17"/>
        <v>13</v>
      </c>
      <c r="F225" s="25">
        <f t="shared" si="10"/>
        <v>0</v>
      </c>
      <c r="G225" s="25">
        <f t="shared" si="10"/>
        <v>0</v>
      </c>
      <c r="H225" s="24" t="str">
        <f t="shared" si="18"/>
        <v>ResCACPNW</v>
      </c>
      <c r="I225" s="26">
        <f t="shared" si="11"/>
        <v>0</v>
      </c>
      <c r="J225" s="26">
        <f t="shared" si="11"/>
        <v>0</v>
      </c>
      <c r="K225" s="24">
        <f t="shared" si="19"/>
        <v>0</v>
      </c>
      <c r="L225" s="26">
        <f t="shared" si="12"/>
        <v>0</v>
      </c>
      <c r="M225" s="24">
        <f t="shared" si="20"/>
        <v>0</v>
      </c>
      <c r="N225" s="26">
        <f t="shared" si="13"/>
        <v>0</v>
      </c>
      <c r="O225" s="24">
        <f t="shared" ref="C225:Q240" si="23">O84</f>
        <v>0</v>
      </c>
      <c r="P225" s="26">
        <f t="shared" si="14"/>
        <v>0</v>
      </c>
      <c r="Q225" s="24" t="str">
        <f t="shared" si="23"/>
        <v/>
      </c>
    </row>
    <row r="226" spans="1:17">
      <c r="A226" t="str">
        <f t="shared" si="15"/>
        <v>Tier2_basmnt_HZ3DHWkwh</v>
      </c>
      <c r="B226" s="24" t="str">
        <f t="shared" ref="B226:B273" si="24">B85</f>
        <v>Tier2_basmnt_HZ3</v>
      </c>
      <c r="C226" s="24" t="str">
        <f t="shared" si="23"/>
        <v>DHWkwh</v>
      </c>
      <c r="D226" s="25">
        <f t="shared" si="9"/>
        <v>153.81604969806926</v>
      </c>
      <c r="E226" s="25">
        <f t="shared" si="23"/>
        <v>13</v>
      </c>
      <c r="F226" s="25">
        <f t="shared" si="10"/>
        <v>1183.5005381933265</v>
      </c>
      <c r="G226" s="25">
        <f t="shared" si="10"/>
        <v>0</v>
      </c>
      <c r="H226" s="24" t="str">
        <f t="shared" si="23"/>
        <v>ResDHW</v>
      </c>
      <c r="I226" s="26">
        <f t="shared" si="11"/>
        <v>0</v>
      </c>
      <c r="J226" s="26">
        <f t="shared" si="11"/>
        <v>0</v>
      </c>
      <c r="K226" s="24">
        <f t="shared" si="23"/>
        <v>0</v>
      </c>
      <c r="L226" s="26">
        <f t="shared" si="12"/>
        <v>0</v>
      </c>
      <c r="M226" s="24">
        <f t="shared" si="23"/>
        <v>0</v>
      </c>
      <c r="N226" s="26">
        <f t="shared" si="13"/>
        <v>0</v>
      </c>
      <c r="O226" s="24">
        <f t="shared" si="23"/>
        <v>0</v>
      </c>
      <c r="P226" s="26">
        <f t="shared" si="14"/>
        <v>0</v>
      </c>
      <c r="Q226" s="24" t="str">
        <f t="shared" si="23"/>
        <v/>
      </c>
    </row>
    <row r="227" spans="1:17" ht="25.5">
      <c r="A227" t="str">
        <f t="shared" si="15"/>
        <v>Tier2_basmnt_HZ3Heatkwh</v>
      </c>
      <c r="B227" s="24" t="str">
        <f t="shared" si="24"/>
        <v>Tier2_basmnt_HZ3</v>
      </c>
      <c r="C227" s="24" t="str">
        <f t="shared" si="23"/>
        <v>Heatkwh</v>
      </c>
      <c r="D227" s="25">
        <f t="shared" si="9"/>
        <v>0</v>
      </c>
      <c r="E227" s="25">
        <f t="shared" si="23"/>
        <v>13</v>
      </c>
      <c r="F227" s="25">
        <f t="shared" si="10"/>
        <v>0</v>
      </c>
      <c r="G227" s="25">
        <f t="shared" si="10"/>
        <v>0</v>
      </c>
      <c r="H227" s="24" t="str">
        <f t="shared" si="23"/>
        <v>ResSpHtFAFZ3</v>
      </c>
      <c r="I227" s="26">
        <f t="shared" si="11"/>
        <v>0</v>
      </c>
      <c r="J227" s="26">
        <f t="shared" si="11"/>
        <v>0</v>
      </c>
      <c r="K227" s="24">
        <f t="shared" si="23"/>
        <v>0</v>
      </c>
      <c r="L227" s="26">
        <f t="shared" si="12"/>
        <v>0</v>
      </c>
      <c r="M227" s="24">
        <f t="shared" si="23"/>
        <v>0</v>
      </c>
      <c r="N227" s="26">
        <f t="shared" si="13"/>
        <v>0</v>
      </c>
      <c r="O227" s="24">
        <f t="shared" si="23"/>
        <v>0</v>
      </c>
      <c r="P227" s="26">
        <f t="shared" si="14"/>
        <v>0</v>
      </c>
      <c r="Q227" s="24" t="str">
        <f t="shared" si="23"/>
        <v/>
      </c>
    </row>
    <row r="228" spans="1:17" ht="25.5">
      <c r="A228" t="str">
        <f t="shared" si="15"/>
        <v>Tier2_basmnt_HZ3Coolkwh</v>
      </c>
      <c r="B228" s="24" t="str">
        <f t="shared" si="24"/>
        <v>Tier2_basmnt_HZ3</v>
      </c>
      <c r="C228" s="24" t="str">
        <f t="shared" si="23"/>
        <v>Coolkwh</v>
      </c>
      <c r="D228" s="25">
        <f t="shared" si="9"/>
        <v>0</v>
      </c>
      <c r="E228" s="25">
        <f t="shared" si="23"/>
        <v>13</v>
      </c>
      <c r="F228" s="25">
        <f t="shared" si="10"/>
        <v>0</v>
      </c>
      <c r="G228" s="25">
        <f t="shared" si="10"/>
        <v>0</v>
      </c>
      <c r="H228" s="24" t="str">
        <f t="shared" si="23"/>
        <v>ResCACPNW</v>
      </c>
      <c r="I228" s="26">
        <f t="shared" si="11"/>
        <v>0</v>
      </c>
      <c r="J228" s="26">
        <f t="shared" si="11"/>
        <v>0</v>
      </c>
      <c r="K228" s="24">
        <f t="shared" si="23"/>
        <v>0</v>
      </c>
      <c r="L228" s="26">
        <f t="shared" si="12"/>
        <v>0</v>
      </c>
      <c r="M228" s="24">
        <f t="shared" si="23"/>
        <v>0</v>
      </c>
      <c r="N228" s="26">
        <f t="shared" si="13"/>
        <v>0</v>
      </c>
      <c r="O228" s="24">
        <f t="shared" si="23"/>
        <v>0</v>
      </c>
      <c r="P228" s="26">
        <f t="shared" si="14"/>
        <v>0</v>
      </c>
      <c r="Q228" s="24" t="str">
        <f t="shared" si="23"/>
        <v/>
      </c>
    </row>
    <row r="229" spans="1:17">
      <c r="A229" t="str">
        <f t="shared" si="15"/>
        <v>Tier2_indor2_HZ1_gfncDHWkwh</v>
      </c>
      <c r="B229" s="24" t="str">
        <f t="shared" si="24"/>
        <v>Tier2_indor2_HZ1_gfnc</v>
      </c>
      <c r="C229" s="24" t="str">
        <f t="shared" si="23"/>
        <v>DHWkwh</v>
      </c>
      <c r="D229" s="25">
        <f t="shared" si="9"/>
        <v>80.224837589874369</v>
      </c>
      <c r="E229" s="25">
        <f t="shared" si="23"/>
        <v>13</v>
      </c>
      <c r="F229" s="25">
        <f t="shared" si="10"/>
        <v>1183.5005381933265</v>
      </c>
      <c r="G229" s="25">
        <f t="shared" si="10"/>
        <v>0</v>
      </c>
      <c r="H229" s="24" t="str">
        <f t="shared" si="23"/>
        <v>ResDHW</v>
      </c>
      <c r="I229" s="26">
        <f t="shared" si="11"/>
        <v>-0.88049142216360199</v>
      </c>
      <c r="J229" s="26">
        <f t="shared" si="11"/>
        <v>0</v>
      </c>
      <c r="K229" s="24">
        <f t="shared" si="23"/>
        <v>0</v>
      </c>
      <c r="L229" s="26">
        <f t="shared" si="12"/>
        <v>0</v>
      </c>
      <c r="M229" s="24">
        <f t="shared" si="23"/>
        <v>0</v>
      </c>
      <c r="N229" s="26">
        <f t="shared" si="13"/>
        <v>0</v>
      </c>
      <c r="O229" s="24">
        <f t="shared" si="23"/>
        <v>0</v>
      </c>
      <c r="P229" s="26">
        <f t="shared" si="14"/>
        <v>0</v>
      </c>
      <c r="Q229" s="24" t="str">
        <f t="shared" si="23"/>
        <v/>
      </c>
    </row>
    <row r="230" spans="1:17" ht="25.5">
      <c r="A230" t="str">
        <f t="shared" si="15"/>
        <v>Tier2_indor2_HZ1_gfncHeatkwh</v>
      </c>
      <c r="B230" s="24" t="str">
        <f t="shared" si="24"/>
        <v>Tier2_indor2_HZ1_gfnc</v>
      </c>
      <c r="C230" s="24" t="str">
        <f t="shared" si="23"/>
        <v>Heatkwh</v>
      </c>
      <c r="D230" s="25">
        <f t="shared" si="9"/>
        <v>-2.2939692482349798</v>
      </c>
      <c r="E230" s="25">
        <f t="shared" si="23"/>
        <v>13</v>
      </c>
      <c r="F230" s="25">
        <f t="shared" si="10"/>
        <v>0</v>
      </c>
      <c r="G230" s="25">
        <f t="shared" si="10"/>
        <v>0</v>
      </c>
      <c r="H230" s="24" t="str">
        <f t="shared" si="23"/>
        <v>ResSpHtFAFZ1</v>
      </c>
      <c r="I230" s="26">
        <f t="shared" si="11"/>
        <v>-0.88049142216360199</v>
      </c>
      <c r="J230" s="26">
        <f t="shared" si="11"/>
        <v>0</v>
      </c>
      <c r="K230" s="24">
        <f t="shared" si="23"/>
        <v>0</v>
      </c>
      <c r="L230" s="26">
        <f t="shared" si="12"/>
        <v>0</v>
      </c>
      <c r="M230" s="24">
        <f t="shared" si="23"/>
        <v>0</v>
      </c>
      <c r="N230" s="26">
        <f t="shared" si="13"/>
        <v>0</v>
      </c>
      <c r="O230" s="24">
        <f t="shared" si="23"/>
        <v>0</v>
      </c>
      <c r="P230" s="26">
        <f t="shared" si="14"/>
        <v>-3.4290251950462398</v>
      </c>
      <c r="Q230" s="24" t="str">
        <f t="shared" si="23"/>
        <v>ResSpHtFAFZ1</v>
      </c>
    </row>
    <row r="231" spans="1:17" ht="25.5">
      <c r="A231" t="str">
        <f t="shared" si="15"/>
        <v>Tier2_indor2_HZ1_gfncCoolkwh</v>
      </c>
      <c r="B231" s="24" t="str">
        <f t="shared" si="24"/>
        <v>Tier2_indor2_HZ1_gfnc</v>
      </c>
      <c r="C231" s="24" t="str">
        <f t="shared" si="23"/>
        <v>Coolkwh</v>
      </c>
      <c r="D231" s="25">
        <f t="shared" si="9"/>
        <v>0</v>
      </c>
      <c r="E231" s="25">
        <f t="shared" si="23"/>
        <v>13</v>
      </c>
      <c r="F231" s="25">
        <f t="shared" ref="F231:G250" si="25">F90-F168</f>
        <v>0</v>
      </c>
      <c r="G231" s="25">
        <f t="shared" si="25"/>
        <v>0</v>
      </c>
      <c r="H231" s="24" t="str">
        <f t="shared" si="23"/>
        <v>ResCACPNW</v>
      </c>
      <c r="I231" s="26">
        <f t="shared" ref="I231:J250" si="26">I90-I168</f>
        <v>-0.88049142216360199</v>
      </c>
      <c r="J231" s="26">
        <f t="shared" si="26"/>
        <v>0</v>
      </c>
      <c r="K231" s="24">
        <f t="shared" si="23"/>
        <v>0</v>
      </c>
      <c r="L231" s="26">
        <f t="shared" si="12"/>
        <v>0</v>
      </c>
      <c r="M231" s="24">
        <f t="shared" si="23"/>
        <v>0</v>
      </c>
      <c r="N231" s="26">
        <f t="shared" si="13"/>
        <v>0</v>
      </c>
      <c r="O231" s="24">
        <f t="shared" si="23"/>
        <v>0</v>
      </c>
      <c r="P231" s="26">
        <f t="shared" si="14"/>
        <v>0</v>
      </c>
      <c r="Q231" s="24" t="str">
        <f t="shared" si="23"/>
        <v/>
      </c>
    </row>
    <row r="232" spans="1:17">
      <c r="A232" t="str">
        <f t="shared" si="15"/>
        <v>Tier2_indor2_HZ1_gfacDHWkwh</v>
      </c>
      <c r="B232" s="24" t="str">
        <f t="shared" si="24"/>
        <v>Tier2_indor2_HZ1_gfac</v>
      </c>
      <c r="C232" s="24" t="str">
        <f t="shared" si="23"/>
        <v>DHWkwh</v>
      </c>
      <c r="D232" s="25">
        <f t="shared" si="9"/>
        <v>84.67012915959026</v>
      </c>
      <c r="E232" s="25">
        <f t="shared" si="23"/>
        <v>13</v>
      </c>
      <c r="F232" s="25">
        <f t="shared" si="25"/>
        <v>1183.5005381933265</v>
      </c>
      <c r="G232" s="25">
        <f t="shared" si="25"/>
        <v>0</v>
      </c>
      <c r="H232" s="24" t="str">
        <f t="shared" si="23"/>
        <v>ResDHW</v>
      </c>
      <c r="I232" s="26">
        <f t="shared" si="26"/>
        <v>-0.89161693639822914</v>
      </c>
      <c r="J232" s="26">
        <f t="shared" si="26"/>
        <v>0</v>
      </c>
      <c r="K232" s="24">
        <f t="shared" si="23"/>
        <v>0</v>
      </c>
      <c r="L232" s="26">
        <f t="shared" si="12"/>
        <v>0</v>
      </c>
      <c r="M232" s="24">
        <f t="shared" si="23"/>
        <v>0</v>
      </c>
      <c r="N232" s="26">
        <f t="shared" si="13"/>
        <v>0</v>
      </c>
      <c r="O232" s="24">
        <f t="shared" si="23"/>
        <v>0</v>
      </c>
      <c r="P232" s="26">
        <f t="shared" si="14"/>
        <v>0</v>
      </c>
      <c r="Q232" s="24" t="str">
        <f t="shared" si="23"/>
        <v/>
      </c>
    </row>
    <row r="233" spans="1:17" ht="25.5">
      <c r="A233" t="str">
        <f t="shared" si="15"/>
        <v>Tier2_indor2_HZ1_gfacHeatkwh</v>
      </c>
      <c r="B233" s="24" t="str">
        <f t="shared" si="24"/>
        <v>Tier2_indor2_HZ1_gfac</v>
      </c>
      <c r="C233" s="24" t="str">
        <f t="shared" si="23"/>
        <v>Heatkwh</v>
      </c>
      <c r="D233" s="25">
        <f t="shared" si="9"/>
        <v>-2.5364759144830025</v>
      </c>
      <c r="E233" s="25">
        <f t="shared" si="23"/>
        <v>13</v>
      </c>
      <c r="F233" s="25">
        <f t="shared" si="25"/>
        <v>0</v>
      </c>
      <c r="G233" s="25">
        <f t="shared" si="25"/>
        <v>0</v>
      </c>
      <c r="H233" s="24" t="str">
        <f t="shared" si="23"/>
        <v>ResSpHtFAFZ1</v>
      </c>
      <c r="I233" s="26">
        <f t="shared" si="26"/>
        <v>-0.89161693639822914</v>
      </c>
      <c r="J233" s="26">
        <f t="shared" si="26"/>
        <v>0</v>
      </c>
      <c r="K233" s="24">
        <f t="shared" si="23"/>
        <v>0</v>
      </c>
      <c r="L233" s="26">
        <f t="shared" si="12"/>
        <v>0</v>
      </c>
      <c r="M233" s="24">
        <f t="shared" si="23"/>
        <v>0</v>
      </c>
      <c r="N233" s="26">
        <f t="shared" si="13"/>
        <v>0</v>
      </c>
      <c r="O233" s="24">
        <f t="shared" si="23"/>
        <v>0</v>
      </c>
      <c r="P233" s="26">
        <f t="shared" si="14"/>
        <v>-3.4642029367382037</v>
      </c>
      <c r="Q233" s="24" t="str">
        <f t="shared" si="23"/>
        <v>ResSpHtFAFZ1</v>
      </c>
    </row>
    <row r="234" spans="1:17" ht="25.5">
      <c r="A234" t="str">
        <f t="shared" si="15"/>
        <v>Tier2_indor2_HZ1_gfacCoolkwh</v>
      </c>
      <c r="B234" s="24" t="str">
        <f t="shared" si="24"/>
        <v>Tier2_indor2_HZ1_gfac</v>
      </c>
      <c r="C234" s="24" t="str">
        <f t="shared" si="23"/>
        <v>Coolkwh</v>
      </c>
      <c r="D234" s="25">
        <f t="shared" si="9"/>
        <v>-5.1204370251241045</v>
      </c>
      <c r="E234" s="25">
        <f t="shared" si="23"/>
        <v>13</v>
      </c>
      <c r="F234" s="25">
        <f t="shared" si="25"/>
        <v>0</v>
      </c>
      <c r="G234" s="25">
        <f t="shared" si="25"/>
        <v>0</v>
      </c>
      <c r="H234" s="24" t="str">
        <f t="shared" si="23"/>
        <v>ResCACPNW</v>
      </c>
      <c r="I234" s="26">
        <f t="shared" si="26"/>
        <v>-0.89161693639822914</v>
      </c>
      <c r="J234" s="26">
        <f t="shared" si="26"/>
        <v>0</v>
      </c>
      <c r="K234" s="24">
        <f t="shared" si="23"/>
        <v>0</v>
      </c>
      <c r="L234" s="26">
        <f t="shared" si="12"/>
        <v>0</v>
      </c>
      <c r="M234" s="24">
        <f t="shared" si="23"/>
        <v>0</v>
      </c>
      <c r="N234" s="26">
        <f t="shared" si="13"/>
        <v>0</v>
      </c>
      <c r="O234" s="24">
        <f t="shared" si="23"/>
        <v>0</v>
      </c>
      <c r="P234" s="26">
        <f t="shared" si="14"/>
        <v>0</v>
      </c>
      <c r="Q234" s="24" t="str">
        <f t="shared" si="23"/>
        <v/>
      </c>
    </row>
    <row r="235" spans="1:17">
      <c r="A235" t="str">
        <f t="shared" si="15"/>
        <v>Tier2_indor2_HZ1_efafDHWkwh</v>
      </c>
      <c r="B235" s="24" t="str">
        <f t="shared" si="24"/>
        <v>Tier2_indor2_HZ1_efaf</v>
      </c>
      <c r="C235" s="24" t="str">
        <f t="shared" si="23"/>
        <v>DHWkwh</v>
      </c>
      <c r="D235" s="25">
        <f t="shared" si="9"/>
        <v>80.224837589874369</v>
      </c>
      <c r="E235" s="25">
        <f t="shared" si="23"/>
        <v>13</v>
      </c>
      <c r="F235" s="25">
        <f t="shared" si="25"/>
        <v>1183.5005381933265</v>
      </c>
      <c r="G235" s="25">
        <f t="shared" si="25"/>
        <v>0</v>
      </c>
      <c r="H235" s="24" t="str">
        <f t="shared" si="23"/>
        <v>ResDHW</v>
      </c>
      <c r="I235" s="26">
        <f t="shared" si="26"/>
        <v>-0.62059258441419862</v>
      </c>
      <c r="J235" s="26">
        <f t="shared" si="26"/>
        <v>0</v>
      </c>
      <c r="K235" s="24">
        <f t="shared" si="23"/>
        <v>0</v>
      </c>
      <c r="L235" s="26">
        <f t="shared" si="12"/>
        <v>0</v>
      </c>
      <c r="M235" s="24">
        <f t="shared" si="23"/>
        <v>0</v>
      </c>
      <c r="N235" s="26">
        <f t="shared" si="13"/>
        <v>0</v>
      </c>
      <c r="O235" s="24">
        <f t="shared" si="23"/>
        <v>0</v>
      </c>
      <c r="P235" s="26">
        <f t="shared" si="14"/>
        <v>0</v>
      </c>
      <c r="Q235" s="24" t="str">
        <f t="shared" si="23"/>
        <v/>
      </c>
    </row>
    <row r="236" spans="1:17" ht="25.5">
      <c r="A236" t="str">
        <f t="shared" si="15"/>
        <v>Tier2_indor2_HZ1_efafHeatkwh</v>
      </c>
      <c r="B236" s="24" t="str">
        <f t="shared" si="24"/>
        <v>Tier2_indor2_HZ1_efaf</v>
      </c>
      <c r="C236" s="24" t="str">
        <f t="shared" si="23"/>
        <v>Heatkwh</v>
      </c>
      <c r="D236" s="25">
        <f t="shared" si="9"/>
        <v>-61.123626427883266</v>
      </c>
      <c r="E236" s="25">
        <f t="shared" si="23"/>
        <v>13</v>
      </c>
      <c r="F236" s="25">
        <f t="shared" si="25"/>
        <v>0</v>
      </c>
      <c r="G236" s="25">
        <f t="shared" si="25"/>
        <v>0</v>
      </c>
      <c r="H236" s="24" t="str">
        <f t="shared" si="23"/>
        <v>ResSpHtFAFZ1</v>
      </c>
      <c r="I236" s="26">
        <f t="shared" si="26"/>
        <v>-0.62059258441419862</v>
      </c>
      <c r="J236" s="26">
        <f t="shared" si="26"/>
        <v>0</v>
      </c>
      <c r="K236" s="24">
        <f t="shared" si="23"/>
        <v>0</v>
      </c>
      <c r="L236" s="26">
        <f t="shared" si="12"/>
        <v>0</v>
      </c>
      <c r="M236" s="24">
        <f t="shared" si="23"/>
        <v>0</v>
      </c>
      <c r="N236" s="26">
        <f t="shared" si="13"/>
        <v>0</v>
      </c>
      <c r="O236" s="24">
        <f t="shared" si="23"/>
        <v>0</v>
      </c>
      <c r="P236" s="26">
        <f t="shared" si="14"/>
        <v>-0.14552869424772896</v>
      </c>
      <c r="Q236" s="24" t="str">
        <f t="shared" si="23"/>
        <v>ResSpHtFAFZ1</v>
      </c>
    </row>
    <row r="237" spans="1:17" ht="25.5">
      <c r="A237" t="str">
        <f t="shared" si="15"/>
        <v>Tier2_indor2_HZ1_efafCoolkwh</v>
      </c>
      <c r="B237" s="24" t="str">
        <f t="shared" si="24"/>
        <v>Tier2_indor2_HZ1_efaf</v>
      </c>
      <c r="C237" s="24" t="str">
        <f t="shared" si="23"/>
        <v>Coolkwh</v>
      </c>
      <c r="D237" s="25">
        <f t="shared" si="9"/>
        <v>0</v>
      </c>
      <c r="E237" s="25">
        <f t="shared" si="23"/>
        <v>13</v>
      </c>
      <c r="F237" s="25">
        <f t="shared" si="25"/>
        <v>0</v>
      </c>
      <c r="G237" s="25">
        <f t="shared" si="25"/>
        <v>0</v>
      </c>
      <c r="H237" s="24" t="str">
        <f t="shared" si="23"/>
        <v>ResCACPNW</v>
      </c>
      <c r="I237" s="26">
        <f t="shared" si="26"/>
        <v>-0.62059258441419862</v>
      </c>
      <c r="J237" s="26">
        <f t="shared" si="26"/>
        <v>0</v>
      </c>
      <c r="K237" s="24">
        <f t="shared" si="23"/>
        <v>0</v>
      </c>
      <c r="L237" s="26">
        <f t="shared" si="12"/>
        <v>0</v>
      </c>
      <c r="M237" s="24">
        <f t="shared" si="23"/>
        <v>0</v>
      </c>
      <c r="N237" s="26">
        <f t="shared" si="13"/>
        <v>0</v>
      </c>
      <c r="O237" s="24">
        <f t="shared" si="23"/>
        <v>0</v>
      </c>
      <c r="P237" s="26">
        <f t="shared" si="14"/>
        <v>0</v>
      </c>
      <c r="Q237" s="24" t="str">
        <f t="shared" si="23"/>
        <v/>
      </c>
    </row>
    <row r="238" spans="1:17">
      <c r="A238" t="str">
        <f t="shared" si="15"/>
        <v>Tier2_indor2_HZ1_hp85DHWkwh</v>
      </c>
      <c r="B238" s="24" t="str">
        <f t="shared" si="24"/>
        <v>Tier2_indor2_HZ1_hp85</v>
      </c>
      <c r="C238" s="24" t="str">
        <f t="shared" si="23"/>
        <v>DHWkwh</v>
      </c>
      <c r="D238" s="25">
        <f t="shared" si="9"/>
        <v>84.660816873848034</v>
      </c>
      <c r="E238" s="25">
        <f t="shared" si="23"/>
        <v>13</v>
      </c>
      <c r="F238" s="25">
        <f t="shared" si="25"/>
        <v>1183.5005381933265</v>
      </c>
      <c r="G238" s="25">
        <f t="shared" si="25"/>
        <v>0</v>
      </c>
      <c r="H238" s="24" t="str">
        <f t="shared" si="23"/>
        <v>ResDHW</v>
      </c>
      <c r="I238" s="26">
        <f t="shared" si="26"/>
        <v>-0.34769207685672532</v>
      </c>
      <c r="J238" s="26">
        <f t="shared" si="26"/>
        <v>0</v>
      </c>
      <c r="K238" s="24">
        <f t="shared" si="23"/>
        <v>0</v>
      </c>
      <c r="L238" s="26">
        <f t="shared" si="12"/>
        <v>0</v>
      </c>
      <c r="M238" s="24">
        <f t="shared" si="23"/>
        <v>0</v>
      </c>
      <c r="N238" s="26">
        <f t="shared" si="13"/>
        <v>0</v>
      </c>
      <c r="O238" s="24">
        <f t="shared" si="23"/>
        <v>0</v>
      </c>
      <c r="P238" s="26">
        <f t="shared" si="14"/>
        <v>0</v>
      </c>
      <c r="Q238" s="24" t="str">
        <f t="shared" si="23"/>
        <v/>
      </c>
    </row>
    <row r="239" spans="1:17" ht="25.5">
      <c r="A239" t="str">
        <f t="shared" si="15"/>
        <v>Tier2_indor2_HZ1_hp85Heatkwh</v>
      </c>
      <c r="B239" s="24" t="str">
        <f t="shared" si="24"/>
        <v>Tier2_indor2_HZ1_hp85</v>
      </c>
      <c r="C239" s="24" t="str">
        <f t="shared" si="23"/>
        <v>Heatkwh</v>
      </c>
      <c r="D239" s="25">
        <f t="shared" si="9"/>
        <v>-34.245012189093615</v>
      </c>
      <c r="E239" s="25">
        <f t="shared" si="23"/>
        <v>13</v>
      </c>
      <c r="F239" s="25">
        <f t="shared" si="25"/>
        <v>0</v>
      </c>
      <c r="G239" s="25">
        <f t="shared" si="25"/>
        <v>0</v>
      </c>
      <c r="H239" s="24" t="str">
        <f t="shared" si="23"/>
        <v>ResSpHtHPZ1</v>
      </c>
      <c r="I239" s="26">
        <f t="shared" si="26"/>
        <v>-0.34769207685672532</v>
      </c>
      <c r="J239" s="26">
        <f t="shared" si="26"/>
        <v>0</v>
      </c>
      <c r="K239" s="24">
        <f t="shared" si="23"/>
        <v>0</v>
      </c>
      <c r="L239" s="26">
        <f t="shared" si="12"/>
        <v>0</v>
      </c>
      <c r="M239" s="24">
        <f t="shared" si="23"/>
        <v>0</v>
      </c>
      <c r="N239" s="26">
        <f t="shared" si="13"/>
        <v>0</v>
      </c>
      <c r="O239" s="24">
        <f t="shared" si="23"/>
        <v>0</v>
      </c>
      <c r="P239" s="26">
        <f t="shared" si="14"/>
        <v>-8.1533642547473806E-2</v>
      </c>
      <c r="Q239" s="24" t="str">
        <f t="shared" si="23"/>
        <v>ResSpHtHPZ1</v>
      </c>
    </row>
    <row r="240" spans="1:17" ht="25.5">
      <c r="A240" t="str">
        <f t="shared" si="15"/>
        <v>Tier2_indor2_HZ1_hp85Coolkwh</v>
      </c>
      <c r="B240" s="24" t="str">
        <f t="shared" si="24"/>
        <v>Tier2_indor2_HZ1_hp85</v>
      </c>
      <c r="C240" s="24" t="str">
        <f t="shared" si="23"/>
        <v>Coolkwh</v>
      </c>
      <c r="D240" s="25">
        <f t="shared" si="9"/>
        <v>-5.1307843027512732</v>
      </c>
      <c r="E240" s="25">
        <f t="shared" si="23"/>
        <v>13</v>
      </c>
      <c r="F240" s="25">
        <f t="shared" si="25"/>
        <v>0</v>
      </c>
      <c r="G240" s="25">
        <f t="shared" si="25"/>
        <v>0</v>
      </c>
      <c r="H240" s="24" t="str">
        <f t="shared" si="23"/>
        <v>ResCACPNW</v>
      </c>
      <c r="I240" s="26">
        <f t="shared" si="26"/>
        <v>-0.34769207685672532</v>
      </c>
      <c r="J240" s="26">
        <f t="shared" si="26"/>
        <v>0</v>
      </c>
      <c r="K240" s="24">
        <f t="shared" si="23"/>
        <v>0</v>
      </c>
      <c r="L240" s="26">
        <f t="shared" si="12"/>
        <v>0</v>
      </c>
      <c r="M240" s="24">
        <f t="shared" si="23"/>
        <v>0</v>
      </c>
      <c r="N240" s="26">
        <f t="shared" si="13"/>
        <v>0</v>
      </c>
      <c r="O240" s="24">
        <f t="shared" si="23"/>
        <v>0</v>
      </c>
      <c r="P240" s="26">
        <f t="shared" si="14"/>
        <v>0</v>
      </c>
      <c r="Q240" s="24" t="str">
        <f t="shared" si="23"/>
        <v/>
      </c>
    </row>
    <row r="241" spans="1:17">
      <c r="A241" t="str">
        <f t="shared" si="15"/>
        <v>Tier2_indor2_HZ1_zonlDHWkwh</v>
      </c>
      <c r="B241" s="24" t="str">
        <f t="shared" si="24"/>
        <v>Tier2_indor2_HZ1_zonl</v>
      </c>
      <c r="C241" s="24" t="str">
        <f t="shared" ref="C241:Q256" si="27">C100</f>
        <v>DHWkwh</v>
      </c>
      <c r="D241" s="25">
        <f t="shared" si="9"/>
        <v>80.151952923044973</v>
      </c>
      <c r="E241" s="25">
        <f t="shared" si="27"/>
        <v>13</v>
      </c>
      <c r="F241" s="25">
        <f t="shared" si="25"/>
        <v>1183.5005381933265</v>
      </c>
      <c r="G241" s="25">
        <f t="shared" si="25"/>
        <v>0</v>
      </c>
      <c r="H241" s="24" t="str">
        <f t="shared" si="27"/>
        <v>ResDHW</v>
      </c>
      <c r="I241" s="26">
        <f t="shared" si="26"/>
        <v>-0.55106513090871534</v>
      </c>
      <c r="J241" s="26">
        <f t="shared" si="26"/>
        <v>0</v>
      </c>
      <c r="K241" s="24">
        <f t="shared" si="27"/>
        <v>0</v>
      </c>
      <c r="L241" s="26">
        <f t="shared" si="12"/>
        <v>0</v>
      </c>
      <c r="M241" s="24">
        <f t="shared" si="27"/>
        <v>0</v>
      </c>
      <c r="N241" s="26">
        <f t="shared" si="13"/>
        <v>0</v>
      </c>
      <c r="O241" s="24">
        <f t="shared" si="27"/>
        <v>0</v>
      </c>
      <c r="P241" s="26">
        <f t="shared" si="14"/>
        <v>0</v>
      </c>
      <c r="Q241" s="24" t="str">
        <f t="shared" si="27"/>
        <v/>
      </c>
    </row>
    <row r="242" spans="1:17" ht="25.5">
      <c r="A242" t="str">
        <f t="shared" si="15"/>
        <v>Tier2_indor2_HZ1_zonlHeatkwh</v>
      </c>
      <c r="B242" s="24" t="str">
        <f t="shared" si="24"/>
        <v>Tier2_indor2_HZ1_zonl</v>
      </c>
      <c r="C242" s="24" t="str">
        <f t="shared" si="27"/>
        <v>Heatkwh</v>
      </c>
      <c r="D242" s="25">
        <f t="shared" si="9"/>
        <v>-54.275703650071307</v>
      </c>
      <c r="E242" s="25">
        <f t="shared" si="27"/>
        <v>13</v>
      </c>
      <c r="F242" s="25">
        <f t="shared" si="25"/>
        <v>0</v>
      </c>
      <c r="G242" s="25">
        <f t="shared" si="25"/>
        <v>0</v>
      </c>
      <c r="H242" s="24" t="str">
        <f t="shared" si="27"/>
        <v>ResSpHtBBZ1</v>
      </c>
      <c r="I242" s="26">
        <f t="shared" si="26"/>
        <v>-0.55106513090871534</v>
      </c>
      <c r="J242" s="26">
        <f t="shared" si="26"/>
        <v>0</v>
      </c>
      <c r="K242" s="24">
        <f t="shared" si="27"/>
        <v>0</v>
      </c>
      <c r="L242" s="26">
        <f t="shared" si="12"/>
        <v>0</v>
      </c>
      <c r="M242" s="24">
        <f t="shared" si="27"/>
        <v>0</v>
      </c>
      <c r="N242" s="26">
        <f t="shared" si="13"/>
        <v>0</v>
      </c>
      <c r="O242" s="24">
        <f t="shared" si="27"/>
        <v>0</v>
      </c>
      <c r="P242" s="26">
        <f t="shared" si="14"/>
        <v>-0.12922453629106634</v>
      </c>
      <c r="Q242" s="24" t="str">
        <f t="shared" si="27"/>
        <v>ResSpHtBBZ1</v>
      </c>
    </row>
    <row r="243" spans="1:17" ht="25.5">
      <c r="A243" t="str">
        <f t="shared" si="15"/>
        <v>Tier2_indor2_HZ1_zonlCoolkwh</v>
      </c>
      <c r="B243" s="24" t="str">
        <f t="shared" si="24"/>
        <v>Tier2_indor2_HZ1_zonl</v>
      </c>
      <c r="C243" s="24" t="str">
        <f t="shared" si="27"/>
        <v>Coolkwh</v>
      </c>
      <c r="D243" s="25">
        <f t="shared" ref="D243:D273" si="28">D102-D180</f>
        <v>0</v>
      </c>
      <c r="E243" s="25">
        <f t="shared" si="27"/>
        <v>13</v>
      </c>
      <c r="F243" s="25">
        <f t="shared" si="25"/>
        <v>0</v>
      </c>
      <c r="G243" s="25">
        <f t="shared" si="25"/>
        <v>0</v>
      </c>
      <c r="H243" s="24" t="str">
        <f t="shared" si="27"/>
        <v>ResCACPNW</v>
      </c>
      <c r="I243" s="26">
        <f t="shared" si="26"/>
        <v>-0.55106513090871534</v>
      </c>
      <c r="J243" s="26">
        <f t="shared" si="26"/>
        <v>0</v>
      </c>
      <c r="K243" s="24">
        <f t="shared" si="27"/>
        <v>0</v>
      </c>
      <c r="L243" s="26">
        <f t="shared" ref="L243:L273" si="29">L102-L180</f>
        <v>0</v>
      </c>
      <c r="M243" s="24">
        <f t="shared" si="27"/>
        <v>0</v>
      </c>
      <c r="N243" s="26">
        <f t="shared" ref="N243:N273" si="30">N102-N180</f>
        <v>0</v>
      </c>
      <c r="O243" s="24">
        <f t="shared" si="27"/>
        <v>0</v>
      </c>
      <c r="P243" s="26">
        <f t="shared" ref="P243:P273" si="31">P102-P180</f>
        <v>0</v>
      </c>
      <c r="Q243" s="24" t="str">
        <f t="shared" si="27"/>
        <v/>
      </c>
    </row>
    <row r="244" spans="1:17">
      <c r="A244" t="str">
        <f t="shared" si="15"/>
        <v>Tier2_indor2_HZ2_gfncDHWkwh</v>
      </c>
      <c r="B244" s="24" t="str">
        <f t="shared" si="24"/>
        <v>Tier2_indor2_HZ2_gfnc</v>
      </c>
      <c r="C244" s="24" t="str">
        <f t="shared" si="27"/>
        <v>DHWkwh</v>
      </c>
      <c r="D244" s="25">
        <f t="shared" si="28"/>
        <v>80.797266248964661</v>
      </c>
      <c r="E244" s="25">
        <f t="shared" si="27"/>
        <v>13</v>
      </c>
      <c r="F244" s="25">
        <f t="shared" si="25"/>
        <v>1183.5005381933265</v>
      </c>
      <c r="G244" s="25">
        <f t="shared" si="25"/>
        <v>0</v>
      </c>
      <c r="H244" s="24" t="str">
        <f t="shared" si="27"/>
        <v>ResDHW</v>
      </c>
      <c r="I244" s="26">
        <f t="shared" si="26"/>
        <v>-0.80745509509243796</v>
      </c>
      <c r="J244" s="26">
        <f t="shared" si="26"/>
        <v>0</v>
      </c>
      <c r="K244" s="24">
        <f t="shared" si="27"/>
        <v>0</v>
      </c>
      <c r="L244" s="26">
        <f t="shared" si="29"/>
        <v>0</v>
      </c>
      <c r="M244" s="24">
        <f t="shared" si="27"/>
        <v>0</v>
      </c>
      <c r="N244" s="26">
        <f t="shared" si="30"/>
        <v>0</v>
      </c>
      <c r="O244" s="24">
        <f t="shared" si="27"/>
        <v>0</v>
      </c>
      <c r="P244" s="26">
        <f t="shared" si="31"/>
        <v>0</v>
      </c>
      <c r="Q244" s="24" t="str">
        <f t="shared" si="27"/>
        <v/>
      </c>
    </row>
    <row r="245" spans="1:17" ht="25.5">
      <c r="A245" t="str">
        <f t="shared" si="15"/>
        <v>Tier2_indor2_HZ2_gfncHeatkwh</v>
      </c>
      <c r="B245" s="24" t="str">
        <f t="shared" si="24"/>
        <v>Tier2_indor2_HZ2_gfnc</v>
      </c>
      <c r="C245" s="24" t="str">
        <f t="shared" si="27"/>
        <v>Heatkwh</v>
      </c>
      <c r="D245" s="25">
        <f t="shared" si="28"/>
        <v>-2.2347709854631734</v>
      </c>
      <c r="E245" s="25">
        <f t="shared" si="27"/>
        <v>13</v>
      </c>
      <c r="F245" s="25">
        <f t="shared" si="25"/>
        <v>0</v>
      </c>
      <c r="G245" s="25">
        <f t="shared" si="25"/>
        <v>0</v>
      </c>
      <c r="H245" s="24" t="str">
        <f t="shared" si="27"/>
        <v>ResSpHtFAFZ2</v>
      </c>
      <c r="I245" s="26">
        <f t="shared" si="26"/>
        <v>-0.80745509509243796</v>
      </c>
      <c r="J245" s="26">
        <f t="shared" si="26"/>
        <v>0</v>
      </c>
      <c r="K245" s="24">
        <f t="shared" si="27"/>
        <v>0</v>
      </c>
      <c r="L245" s="26">
        <f t="shared" si="29"/>
        <v>0</v>
      </c>
      <c r="M245" s="24">
        <f t="shared" si="27"/>
        <v>0</v>
      </c>
      <c r="N245" s="26">
        <f t="shared" si="30"/>
        <v>0</v>
      </c>
      <c r="O245" s="24">
        <f t="shared" si="27"/>
        <v>0</v>
      </c>
      <c r="P245" s="26">
        <f t="shared" si="31"/>
        <v>-3.0758065928616922</v>
      </c>
      <c r="Q245" s="24" t="str">
        <f t="shared" si="27"/>
        <v>ResSpHtFAFZ2</v>
      </c>
    </row>
    <row r="246" spans="1:17" ht="25.5">
      <c r="A246" t="str">
        <f t="shared" si="15"/>
        <v>Tier2_indor2_HZ2_gfncCoolkwh</v>
      </c>
      <c r="B246" s="24" t="str">
        <f t="shared" si="24"/>
        <v>Tier2_indor2_HZ2_gfnc</v>
      </c>
      <c r="C246" s="24" t="str">
        <f t="shared" si="27"/>
        <v>Coolkwh</v>
      </c>
      <c r="D246" s="25">
        <f t="shared" si="28"/>
        <v>0</v>
      </c>
      <c r="E246" s="25">
        <f t="shared" si="27"/>
        <v>13</v>
      </c>
      <c r="F246" s="25">
        <f t="shared" si="25"/>
        <v>0</v>
      </c>
      <c r="G246" s="25">
        <f t="shared" si="25"/>
        <v>0</v>
      </c>
      <c r="H246" s="24" t="str">
        <f t="shared" si="27"/>
        <v>ResCACPNW</v>
      </c>
      <c r="I246" s="26">
        <f t="shared" si="26"/>
        <v>-0.80745509509243796</v>
      </c>
      <c r="J246" s="26">
        <f t="shared" si="26"/>
        <v>0</v>
      </c>
      <c r="K246" s="24">
        <f t="shared" si="27"/>
        <v>0</v>
      </c>
      <c r="L246" s="26">
        <f t="shared" si="29"/>
        <v>0</v>
      </c>
      <c r="M246" s="24">
        <f t="shared" si="27"/>
        <v>0</v>
      </c>
      <c r="N246" s="26">
        <f t="shared" si="30"/>
        <v>0</v>
      </c>
      <c r="O246" s="24">
        <f t="shared" si="27"/>
        <v>0</v>
      </c>
      <c r="P246" s="26">
        <f t="shared" si="31"/>
        <v>0</v>
      </c>
      <c r="Q246" s="24" t="str">
        <f t="shared" si="27"/>
        <v/>
      </c>
    </row>
    <row r="247" spans="1:17">
      <c r="A247" t="str">
        <f t="shared" si="15"/>
        <v>Tier2_indor2_HZ2_gfacDHWkwh</v>
      </c>
      <c r="B247" s="24" t="str">
        <f t="shared" si="24"/>
        <v>Tier2_indor2_HZ2_gfac</v>
      </c>
      <c r="C247" s="24" t="str">
        <f t="shared" si="27"/>
        <v>DHWkwh</v>
      </c>
      <c r="D247" s="25">
        <f t="shared" si="28"/>
        <v>89.615797865410968</v>
      </c>
      <c r="E247" s="25">
        <f t="shared" si="27"/>
        <v>13</v>
      </c>
      <c r="F247" s="25">
        <f t="shared" si="25"/>
        <v>1183.5005381933265</v>
      </c>
      <c r="G247" s="25">
        <f t="shared" si="25"/>
        <v>0</v>
      </c>
      <c r="H247" s="24" t="str">
        <f t="shared" si="27"/>
        <v>ResDHW</v>
      </c>
      <c r="I247" s="26">
        <f t="shared" si="26"/>
        <v>-0.83468397616544454</v>
      </c>
      <c r="J247" s="26">
        <f t="shared" si="26"/>
        <v>0</v>
      </c>
      <c r="K247" s="24">
        <f t="shared" si="27"/>
        <v>0</v>
      </c>
      <c r="L247" s="26">
        <f t="shared" si="29"/>
        <v>0</v>
      </c>
      <c r="M247" s="24">
        <f t="shared" si="27"/>
        <v>0</v>
      </c>
      <c r="N247" s="26">
        <f t="shared" si="30"/>
        <v>0</v>
      </c>
      <c r="O247" s="24">
        <f t="shared" si="27"/>
        <v>0</v>
      </c>
      <c r="P247" s="26">
        <f t="shared" si="31"/>
        <v>0</v>
      </c>
      <c r="Q247" s="24" t="str">
        <f t="shared" si="27"/>
        <v/>
      </c>
    </row>
    <row r="248" spans="1:17" ht="25.5">
      <c r="A248" t="str">
        <f t="shared" si="15"/>
        <v>Tier2_indor2_HZ2_gfacHeatkwh</v>
      </c>
      <c r="B248" s="24" t="str">
        <f t="shared" si="24"/>
        <v>Tier2_indor2_HZ2_gfac</v>
      </c>
      <c r="C248" s="24" t="str">
        <f t="shared" si="27"/>
        <v>Heatkwh</v>
      </c>
      <c r="D248" s="25">
        <f t="shared" si="28"/>
        <v>-2.4167261380351395</v>
      </c>
      <c r="E248" s="25">
        <f t="shared" si="27"/>
        <v>13</v>
      </c>
      <c r="F248" s="25">
        <f t="shared" si="25"/>
        <v>0</v>
      </c>
      <c r="G248" s="25">
        <f t="shared" si="25"/>
        <v>0</v>
      </c>
      <c r="H248" s="24" t="str">
        <f t="shared" si="27"/>
        <v>ResSpHtFAFZ2</v>
      </c>
      <c r="I248" s="26">
        <f t="shared" si="26"/>
        <v>-0.83468397616544454</v>
      </c>
      <c r="J248" s="26">
        <f t="shared" si="26"/>
        <v>0</v>
      </c>
      <c r="K248" s="24">
        <f t="shared" si="27"/>
        <v>0</v>
      </c>
      <c r="L248" s="26">
        <f t="shared" si="29"/>
        <v>0</v>
      </c>
      <c r="M248" s="24">
        <f t="shared" si="27"/>
        <v>0</v>
      </c>
      <c r="N248" s="26">
        <f t="shared" si="30"/>
        <v>0</v>
      </c>
      <c r="O248" s="24">
        <f t="shared" si="27"/>
        <v>0</v>
      </c>
      <c r="P248" s="26">
        <f t="shared" si="31"/>
        <v>-3.1754462530863812</v>
      </c>
      <c r="Q248" s="24" t="str">
        <f t="shared" si="27"/>
        <v>ResSpHtFAFZ2</v>
      </c>
    </row>
    <row r="249" spans="1:17" ht="25.5">
      <c r="A249" t="str">
        <f t="shared" si="15"/>
        <v>Tier2_indor2_HZ2_gfacCoolkwh</v>
      </c>
      <c r="B249" s="24" t="str">
        <f t="shared" si="24"/>
        <v>Tier2_indor2_HZ2_gfac</v>
      </c>
      <c r="C249" s="24" t="str">
        <f t="shared" si="27"/>
        <v>Coolkwh</v>
      </c>
      <c r="D249" s="25">
        <f t="shared" si="28"/>
        <v>-4.4447819007170715</v>
      </c>
      <c r="E249" s="25">
        <f t="shared" si="27"/>
        <v>13</v>
      </c>
      <c r="F249" s="25">
        <f t="shared" si="25"/>
        <v>0</v>
      </c>
      <c r="G249" s="25">
        <f t="shared" si="25"/>
        <v>0</v>
      </c>
      <c r="H249" s="24" t="str">
        <f t="shared" si="27"/>
        <v>ResCACPNW</v>
      </c>
      <c r="I249" s="26">
        <f t="shared" si="26"/>
        <v>-0.83468397616544454</v>
      </c>
      <c r="J249" s="26">
        <f t="shared" si="26"/>
        <v>0</v>
      </c>
      <c r="K249" s="24">
        <f t="shared" si="27"/>
        <v>0</v>
      </c>
      <c r="L249" s="26">
        <f t="shared" si="29"/>
        <v>0</v>
      </c>
      <c r="M249" s="24">
        <f t="shared" si="27"/>
        <v>0</v>
      </c>
      <c r="N249" s="26">
        <f t="shared" si="30"/>
        <v>0</v>
      </c>
      <c r="O249" s="24">
        <f t="shared" si="27"/>
        <v>0</v>
      </c>
      <c r="P249" s="26">
        <f t="shared" si="31"/>
        <v>0</v>
      </c>
      <c r="Q249" s="24" t="str">
        <f t="shared" si="27"/>
        <v/>
      </c>
    </row>
    <row r="250" spans="1:17">
      <c r="A250" t="str">
        <f t="shared" si="15"/>
        <v>Tier2_indor2_HZ2_efafDHWkwh</v>
      </c>
      <c r="B250" s="24" t="str">
        <f t="shared" si="24"/>
        <v>Tier2_indor2_HZ2_efaf</v>
      </c>
      <c r="C250" s="24" t="str">
        <f t="shared" si="27"/>
        <v>DHWkwh</v>
      </c>
      <c r="D250" s="25">
        <f t="shared" si="28"/>
        <v>80.797266248964661</v>
      </c>
      <c r="E250" s="25">
        <f t="shared" si="27"/>
        <v>13</v>
      </c>
      <c r="F250" s="25">
        <f t="shared" si="25"/>
        <v>1183.5005381933265</v>
      </c>
      <c r="G250" s="25">
        <f t="shared" si="25"/>
        <v>0</v>
      </c>
      <c r="H250" s="24" t="str">
        <f t="shared" si="27"/>
        <v>ResDHW</v>
      </c>
      <c r="I250" s="26">
        <f t="shared" si="26"/>
        <v>-0.5698269604489492</v>
      </c>
      <c r="J250" s="26">
        <f t="shared" si="26"/>
        <v>0</v>
      </c>
      <c r="K250" s="24">
        <f t="shared" si="27"/>
        <v>0</v>
      </c>
      <c r="L250" s="26">
        <f t="shared" si="29"/>
        <v>0</v>
      </c>
      <c r="M250" s="24">
        <f t="shared" si="27"/>
        <v>0</v>
      </c>
      <c r="N250" s="26">
        <f t="shared" si="30"/>
        <v>0</v>
      </c>
      <c r="O250" s="24">
        <f t="shared" si="27"/>
        <v>0</v>
      </c>
      <c r="P250" s="26">
        <f t="shared" si="31"/>
        <v>0</v>
      </c>
      <c r="Q250" s="24" t="str">
        <f t="shared" si="27"/>
        <v/>
      </c>
    </row>
    <row r="251" spans="1:17" ht="25.5">
      <c r="A251" t="str">
        <f t="shared" si="15"/>
        <v>Tier2_indor2_HZ2_efafHeatkwh</v>
      </c>
      <c r="B251" s="24" t="str">
        <f t="shared" si="24"/>
        <v>Tier2_indor2_HZ2_efaf</v>
      </c>
      <c r="C251" s="24" t="str">
        <f t="shared" si="27"/>
        <v>Heatkwh</v>
      </c>
      <c r="D251" s="25">
        <f t="shared" si="28"/>
        <v>-57.136531490288064</v>
      </c>
      <c r="E251" s="25">
        <f t="shared" si="27"/>
        <v>13</v>
      </c>
      <c r="F251" s="25">
        <f t="shared" ref="F251:G270" si="32">F110-F188</f>
        <v>0</v>
      </c>
      <c r="G251" s="25">
        <f t="shared" si="32"/>
        <v>0</v>
      </c>
      <c r="H251" s="24" t="str">
        <f t="shared" si="27"/>
        <v>ResSpHtFAFZ2</v>
      </c>
      <c r="I251" s="26">
        <f t="shared" ref="I251:J270" si="33">I110-I188</f>
        <v>-0.5698269604489492</v>
      </c>
      <c r="J251" s="26">
        <f t="shared" si="33"/>
        <v>0</v>
      </c>
      <c r="K251" s="24">
        <f t="shared" si="27"/>
        <v>0</v>
      </c>
      <c r="L251" s="26">
        <f t="shared" si="29"/>
        <v>0</v>
      </c>
      <c r="M251" s="24">
        <f t="shared" si="27"/>
        <v>0</v>
      </c>
      <c r="N251" s="26">
        <f t="shared" si="30"/>
        <v>0</v>
      </c>
      <c r="O251" s="24">
        <f t="shared" si="27"/>
        <v>0</v>
      </c>
      <c r="P251" s="26">
        <f t="shared" si="31"/>
        <v>-4.2868288352899742E-2</v>
      </c>
      <c r="Q251" s="24" t="str">
        <f t="shared" si="27"/>
        <v>ResSpHtFAFZ2</v>
      </c>
    </row>
    <row r="252" spans="1:17" ht="25.5">
      <c r="A252" t="str">
        <f t="shared" si="15"/>
        <v>Tier2_indor2_HZ2_efafCoolkwh</v>
      </c>
      <c r="B252" s="24" t="str">
        <f t="shared" si="24"/>
        <v>Tier2_indor2_HZ2_efaf</v>
      </c>
      <c r="C252" s="24" t="str">
        <f t="shared" si="27"/>
        <v>Coolkwh</v>
      </c>
      <c r="D252" s="25">
        <f t="shared" si="28"/>
        <v>0</v>
      </c>
      <c r="E252" s="25">
        <f t="shared" si="27"/>
        <v>13</v>
      </c>
      <c r="F252" s="25">
        <f t="shared" si="32"/>
        <v>0</v>
      </c>
      <c r="G252" s="25">
        <f t="shared" si="32"/>
        <v>0</v>
      </c>
      <c r="H252" s="24" t="str">
        <f t="shared" si="27"/>
        <v>ResCACPNW</v>
      </c>
      <c r="I252" s="26">
        <f t="shared" si="33"/>
        <v>-0.5698269604489492</v>
      </c>
      <c r="J252" s="26">
        <f t="shared" si="33"/>
        <v>0</v>
      </c>
      <c r="K252" s="24">
        <f t="shared" si="27"/>
        <v>0</v>
      </c>
      <c r="L252" s="26">
        <f t="shared" si="29"/>
        <v>0</v>
      </c>
      <c r="M252" s="24">
        <f t="shared" si="27"/>
        <v>0</v>
      </c>
      <c r="N252" s="26">
        <f t="shared" si="30"/>
        <v>0</v>
      </c>
      <c r="O252" s="24">
        <f t="shared" si="27"/>
        <v>0</v>
      </c>
      <c r="P252" s="26">
        <f t="shared" si="31"/>
        <v>0</v>
      </c>
      <c r="Q252" s="24" t="str">
        <f t="shared" si="27"/>
        <v/>
      </c>
    </row>
    <row r="253" spans="1:17">
      <c r="A253" t="str">
        <f t="shared" si="15"/>
        <v>Tier2_indor2_HZ2_hp85DHWkwh</v>
      </c>
      <c r="B253" s="24" t="str">
        <f t="shared" si="24"/>
        <v>Tier2_indor2_HZ2_hp85</v>
      </c>
      <c r="C253" s="24" t="str">
        <f t="shared" si="27"/>
        <v>DHWkwh</v>
      </c>
      <c r="D253" s="25">
        <f t="shared" si="28"/>
        <v>89.6325561550766</v>
      </c>
      <c r="E253" s="25">
        <f t="shared" si="27"/>
        <v>13</v>
      </c>
      <c r="F253" s="25">
        <f t="shared" si="32"/>
        <v>1183.5005381933265</v>
      </c>
      <c r="G253" s="25">
        <f t="shared" si="32"/>
        <v>0</v>
      </c>
      <c r="H253" s="24" t="str">
        <f t="shared" si="27"/>
        <v>ResDHW</v>
      </c>
      <c r="I253" s="26">
        <f t="shared" si="33"/>
        <v>-0.42317667373126433</v>
      </c>
      <c r="J253" s="26">
        <f t="shared" si="33"/>
        <v>0</v>
      </c>
      <c r="K253" s="24">
        <f t="shared" si="27"/>
        <v>0</v>
      </c>
      <c r="L253" s="26">
        <f t="shared" si="29"/>
        <v>0</v>
      </c>
      <c r="M253" s="24">
        <f t="shared" si="27"/>
        <v>0</v>
      </c>
      <c r="N253" s="26">
        <f t="shared" si="30"/>
        <v>0</v>
      </c>
      <c r="O253" s="24">
        <f t="shared" si="27"/>
        <v>0</v>
      </c>
      <c r="P253" s="26">
        <f t="shared" si="31"/>
        <v>0</v>
      </c>
      <c r="Q253" s="24" t="str">
        <f t="shared" si="27"/>
        <v/>
      </c>
    </row>
    <row r="254" spans="1:17" ht="25.5">
      <c r="A254" t="str">
        <f t="shared" si="15"/>
        <v>Tier2_indor2_HZ2_hp85Heatkwh</v>
      </c>
      <c r="B254" s="24" t="str">
        <f t="shared" si="24"/>
        <v>Tier2_indor2_HZ2_hp85</v>
      </c>
      <c r="C254" s="24" t="str">
        <f t="shared" si="27"/>
        <v>Heatkwh</v>
      </c>
      <c r="D254" s="25">
        <f t="shared" si="28"/>
        <v>-42.431911830833741</v>
      </c>
      <c r="E254" s="25">
        <f t="shared" si="27"/>
        <v>13</v>
      </c>
      <c r="F254" s="25">
        <f t="shared" si="32"/>
        <v>0</v>
      </c>
      <c r="G254" s="25">
        <f t="shared" si="32"/>
        <v>0</v>
      </c>
      <c r="H254" s="24" t="str">
        <f t="shared" si="27"/>
        <v>ResSpHtHPZ2</v>
      </c>
      <c r="I254" s="26">
        <f t="shared" si="33"/>
        <v>-0.42317667373126433</v>
      </c>
      <c r="J254" s="26">
        <f t="shared" si="33"/>
        <v>0</v>
      </c>
      <c r="K254" s="24">
        <f t="shared" si="27"/>
        <v>0</v>
      </c>
      <c r="L254" s="26">
        <f t="shared" si="29"/>
        <v>0</v>
      </c>
      <c r="M254" s="24">
        <f t="shared" si="27"/>
        <v>0</v>
      </c>
      <c r="N254" s="26">
        <f t="shared" si="30"/>
        <v>0</v>
      </c>
      <c r="O254" s="24">
        <f t="shared" si="27"/>
        <v>0</v>
      </c>
      <c r="P254" s="26">
        <f t="shared" si="31"/>
        <v>-3.1835734236653479E-2</v>
      </c>
      <c r="Q254" s="24" t="str">
        <f t="shared" si="27"/>
        <v>ResSpHtHPZ2</v>
      </c>
    </row>
    <row r="255" spans="1:17" ht="25.5">
      <c r="A255" t="str">
        <f t="shared" si="15"/>
        <v>Tier2_indor2_HZ2_hp85Coolkwh</v>
      </c>
      <c r="B255" s="24" t="str">
        <f t="shared" si="24"/>
        <v>Tier2_indor2_HZ2_hp85</v>
      </c>
      <c r="C255" s="24" t="str">
        <f t="shared" si="27"/>
        <v>Coolkwh</v>
      </c>
      <c r="D255" s="25">
        <f t="shared" si="28"/>
        <v>-4.4474205089167533</v>
      </c>
      <c r="E255" s="25">
        <f t="shared" si="27"/>
        <v>13</v>
      </c>
      <c r="F255" s="25">
        <f t="shared" si="32"/>
        <v>0</v>
      </c>
      <c r="G255" s="25">
        <f t="shared" si="32"/>
        <v>0</v>
      </c>
      <c r="H255" s="24" t="str">
        <f t="shared" si="27"/>
        <v>ResCACPNW</v>
      </c>
      <c r="I255" s="26">
        <f t="shared" si="33"/>
        <v>-0.42317667373126433</v>
      </c>
      <c r="J255" s="26">
        <f t="shared" si="33"/>
        <v>0</v>
      </c>
      <c r="K255" s="24">
        <f t="shared" si="27"/>
        <v>0</v>
      </c>
      <c r="L255" s="26">
        <f t="shared" si="29"/>
        <v>0</v>
      </c>
      <c r="M255" s="24">
        <f t="shared" si="27"/>
        <v>0</v>
      </c>
      <c r="N255" s="26">
        <f t="shared" si="30"/>
        <v>0</v>
      </c>
      <c r="O255" s="24">
        <f t="shared" si="27"/>
        <v>0</v>
      </c>
      <c r="P255" s="26">
        <f t="shared" si="31"/>
        <v>0</v>
      </c>
      <c r="Q255" s="24" t="str">
        <f t="shared" si="27"/>
        <v/>
      </c>
    </row>
    <row r="256" spans="1:17">
      <c r="A256" t="str">
        <f t="shared" si="15"/>
        <v>Tier2_indor2_HZ2_zonlDHWkwh</v>
      </c>
      <c r="B256" s="24" t="str">
        <f t="shared" si="24"/>
        <v>Tier2_indor2_HZ2_zonl</v>
      </c>
      <c r="C256" s="24" t="str">
        <f t="shared" si="27"/>
        <v>DHWkwh</v>
      </c>
      <c r="D256" s="25">
        <f t="shared" si="28"/>
        <v>81.002728246778815</v>
      </c>
      <c r="E256" s="25">
        <f t="shared" si="27"/>
        <v>13</v>
      </c>
      <c r="F256" s="25">
        <f t="shared" si="32"/>
        <v>1183.5005381933265</v>
      </c>
      <c r="G256" s="25">
        <f t="shared" si="32"/>
        <v>0</v>
      </c>
      <c r="H256" s="24" t="str">
        <f t="shared" si="27"/>
        <v>ResDHW</v>
      </c>
      <c r="I256" s="26">
        <f t="shared" si="33"/>
        <v>-0.50517524358254429</v>
      </c>
      <c r="J256" s="26">
        <f t="shared" si="33"/>
        <v>0</v>
      </c>
      <c r="K256" s="24">
        <f t="shared" si="27"/>
        <v>0</v>
      </c>
      <c r="L256" s="26">
        <f t="shared" si="29"/>
        <v>0</v>
      </c>
      <c r="M256" s="24">
        <f t="shared" si="27"/>
        <v>0</v>
      </c>
      <c r="N256" s="26">
        <f t="shared" si="30"/>
        <v>0</v>
      </c>
      <c r="O256" s="24">
        <f t="shared" si="27"/>
        <v>0</v>
      </c>
      <c r="P256" s="26">
        <f t="shared" si="31"/>
        <v>0</v>
      </c>
      <c r="Q256" s="24" t="str">
        <f t="shared" si="27"/>
        <v/>
      </c>
    </row>
    <row r="257" spans="1:17" ht="25.5">
      <c r="A257" t="str">
        <f t="shared" si="15"/>
        <v>Tier2_indor2_HZ2_zonlHeatkwh</v>
      </c>
      <c r="B257" s="24" t="str">
        <f t="shared" si="24"/>
        <v>Tier2_indor2_HZ2_zonl</v>
      </c>
      <c r="C257" s="24" t="str">
        <f t="shared" ref="C257:Q272" si="34">C116</f>
        <v>Heatkwh</v>
      </c>
      <c r="D257" s="25">
        <f t="shared" si="28"/>
        <v>-50.653905863504576</v>
      </c>
      <c r="E257" s="25">
        <f t="shared" si="34"/>
        <v>13</v>
      </c>
      <c r="F257" s="25">
        <f t="shared" si="32"/>
        <v>0</v>
      </c>
      <c r="G257" s="25">
        <f t="shared" si="32"/>
        <v>0</v>
      </c>
      <c r="H257" s="24" t="str">
        <f t="shared" si="34"/>
        <v>ResSpHtBBZ2</v>
      </c>
      <c r="I257" s="26">
        <f t="shared" si="33"/>
        <v>-0.50517524358254429</v>
      </c>
      <c r="J257" s="26">
        <f t="shared" si="33"/>
        <v>0</v>
      </c>
      <c r="K257" s="24">
        <f t="shared" si="34"/>
        <v>0</v>
      </c>
      <c r="L257" s="26">
        <f t="shared" si="29"/>
        <v>0</v>
      </c>
      <c r="M257" s="24">
        <f t="shared" si="34"/>
        <v>0</v>
      </c>
      <c r="N257" s="26">
        <f t="shared" si="30"/>
        <v>0</v>
      </c>
      <c r="O257" s="24">
        <f t="shared" si="34"/>
        <v>0</v>
      </c>
      <c r="P257" s="26">
        <f t="shared" si="31"/>
        <v>-3.8004516307162423E-2</v>
      </c>
      <c r="Q257" s="24" t="str">
        <f t="shared" si="34"/>
        <v>ResSpHtBBZ2</v>
      </c>
    </row>
    <row r="258" spans="1:17" ht="25.5">
      <c r="A258" t="str">
        <f t="shared" si="15"/>
        <v>Tier2_indor2_HZ2_zonlCoolkwh</v>
      </c>
      <c r="B258" s="24" t="str">
        <f t="shared" si="24"/>
        <v>Tier2_indor2_HZ2_zonl</v>
      </c>
      <c r="C258" s="24" t="str">
        <f t="shared" si="34"/>
        <v>Coolkwh</v>
      </c>
      <c r="D258" s="25">
        <f t="shared" si="28"/>
        <v>0</v>
      </c>
      <c r="E258" s="25">
        <f t="shared" si="34"/>
        <v>13</v>
      </c>
      <c r="F258" s="25">
        <f t="shared" si="32"/>
        <v>0</v>
      </c>
      <c r="G258" s="25">
        <f t="shared" si="32"/>
        <v>0</v>
      </c>
      <c r="H258" s="24" t="str">
        <f t="shared" si="34"/>
        <v>ResCACPNW</v>
      </c>
      <c r="I258" s="26">
        <f t="shared" si="33"/>
        <v>-0.50517524358254429</v>
      </c>
      <c r="J258" s="26">
        <f t="shared" si="33"/>
        <v>0</v>
      </c>
      <c r="K258" s="24">
        <f t="shared" si="34"/>
        <v>0</v>
      </c>
      <c r="L258" s="26">
        <f t="shared" si="29"/>
        <v>0</v>
      </c>
      <c r="M258" s="24">
        <f t="shared" si="34"/>
        <v>0</v>
      </c>
      <c r="N258" s="26">
        <f t="shared" si="30"/>
        <v>0</v>
      </c>
      <c r="O258" s="24">
        <f t="shared" si="34"/>
        <v>0</v>
      </c>
      <c r="P258" s="26">
        <f t="shared" si="31"/>
        <v>0</v>
      </c>
      <c r="Q258" s="24" t="str">
        <f t="shared" si="34"/>
        <v/>
      </c>
    </row>
    <row r="259" spans="1:17">
      <c r="A259" t="str">
        <f t="shared" si="15"/>
        <v>Tier2_indor2_HZ3_gfncDHWkwh</v>
      </c>
      <c r="B259" s="24" t="str">
        <f t="shared" si="24"/>
        <v>Tier2_indor2_HZ3_gfnc</v>
      </c>
      <c r="C259" s="24" t="str">
        <f t="shared" si="34"/>
        <v>DHWkwh</v>
      </c>
      <c r="D259" s="25">
        <f t="shared" si="28"/>
        <v>109.59330593789969</v>
      </c>
      <c r="E259" s="25">
        <f t="shared" si="34"/>
        <v>13</v>
      </c>
      <c r="F259" s="25">
        <f t="shared" si="32"/>
        <v>1183.5005381933265</v>
      </c>
      <c r="G259" s="25">
        <f t="shared" si="32"/>
        <v>0</v>
      </c>
      <c r="H259" s="24" t="str">
        <f t="shared" si="34"/>
        <v>ResDHW</v>
      </c>
      <c r="I259" s="26">
        <f t="shared" si="33"/>
        <v>-0.7604303497041478</v>
      </c>
      <c r="J259" s="26">
        <f t="shared" si="33"/>
        <v>0</v>
      </c>
      <c r="K259" s="24">
        <f t="shared" si="34"/>
        <v>0</v>
      </c>
      <c r="L259" s="26">
        <f t="shared" si="29"/>
        <v>0</v>
      </c>
      <c r="M259" s="24">
        <f t="shared" si="34"/>
        <v>0</v>
      </c>
      <c r="N259" s="26">
        <f t="shared" si="30"/>
        <v>0</v>
      </c>
      <c r="O259" s="24">
        <f t="shared" si="34"/>
        <v>0</v>
      </c>
      <c r="P259" s="26">
        <f t="shared" si="31"/>
        <v>0</v>
      </c>
      <c r="Q259" s="24" t="str">
        <f t="shared" si="34"/>
        <v/>
      </c>
    </row>
    <row r="260" spans="1:17" ht="25.5">
      <c r="A260" t="str">
        <f t="shared" si="15"/>
        <v>Tier2_indor2_HZ3_gfncHeatkwh</v>
      </c>
      <c r="B260" s="24" t="str">
        <f t="shared" si="24"/>
        <v>Tier2_indor2_HZ3_gfnc</v>
      </c>
      <c r="C260" s="24" t="str">
        <f t="shared" si="34"/>
        <v>Heatkwh</v>
      </c>
      <c r="D260" s="25">
        <f t="shared" si="28"/>
        <v>-2.1511271742279625</v>
      </c>
      <c r="E260" s="25">
        <f t="shared" si="34"/>
        <v>13</v>
      </c>
      <c r="F260" s="25">
        <f t="shared" si="32"/>
        <v>0</v>
      </c>
      <c r="G260" s="25">
        <f t="shared" si="32"/>
        <v>0</v>
      </c>
      <c r="H260" s="24" t="str">
        <f t="shared" si="34"/>
        <v>ResSpHtFAFZ3</v>
      </c>
      <c r="I260" s="26">
        <f t="shared" si="33"/>
        <v>-0.7604303497041478</v>
      </c>
      <c r="J260" s="26">
        <f t="shared" si="33"/>
        <v>0</v>
      </c>
      <c r="K260" s="24">
        <f t="shared" si="34"/>
        <v>0</v>
      </c>
      <c r="L260" s="26">
        <f t="shared" si="29"/>
        <v>0</v>
      </c>
      <c r="M260" s="24">
        <f t="shared" si="34"/>
        <v>0</v>
      </c>
      <c r="N260" s="26">
        <f t="shared" si="30"/>
        <v>0</v>
      </c>
      <c r="O260" s="24">
        <f t="shared" si="34"/>
        <v>0</v>
      </c>
      <c r="P260" s="26">
        <f t="shared" si="31"/>
        <v>-2.8948960949550653</v>
      </c>
      <c r="Q260" s="24" t="str">
        <f t="shared" si="34"/>
        <v>ResSpHtFAFZ3</v>
      </c>
    </row>
    <row r="261" spans="1:17" ht="25.5">
      <c r="A261" t="str">
        <f t="shared" si="15"/>
        <v>Tier2_indor2_HZ3_gfncCoolkwh</v>
      </c>
      <c r="B261" s="24" t="str">
        <f t="shared" si="24"/>
        <v>Tier2_indor2_HZ3_gfnc</v>
      </c>
      <c r="C261" s="24" t="str">
        <f t="shared" si="34"/>
        <v>Coolkwh</v>
      </c>
      <c r="D261" s="25">
        <f t="shared" si="28"/>
        <v>0</v>
      </c>
      <c r="E261" s="25">
        <f t="shared" si="34"/>
        <v>13</v>
      </c>
      <c r="F261" s="25">
        <f t="shared" si="32"/>
        <v>0</v>
      </c>
      <c r="G261" s="25">
        <f t="shared" si="32"/>
        <v>0</v>
      </c>
      <c r="H261" s="24" t="str">
        <f t="shared" si="34"/>
        <v>ResCACPNW</v>
      </c>
      <c r="I261" s="26">
        <f t="shared" si="33"/>
        <v>-0.7604303497041478</v>
      </c>
      <c r="J261" s="26">
        <f t="shared" si="33"/>
        <v>0</v>
      </c>
      <c r="K261" s="24">
        <f t="shared" si="34"/>
        <v>0</v>
      </c>
      <c r="L261" s="26">
        <f t="shared" si="29"/>
        <v>0</v>
      </c>
      <c r="M261" s="24">
        <f t="shared" si="34"/>
        <v>0</v>
      </c>
      <c r="N261" s="26">
        <f t="shared" si="30"/>
        <v>0</v>
      </c>
      <c r="O261" s="24">
        <f t="shared" si="34"/>
        <v>0</v>
      </c>
      <c r="P261" s="26">
        <f t="shared" si="31"/>
        <v>0</v>
      </c>
      <c r="Q261" s="24" t="str">
        <f t="shared" si="34"/>
        <v/>
      </c>
    </row>
    <row r="262" spans="1:17">
      <c r="A262" t="str">
        <f t="shared" si="15"/>
        <v>Tier2_indor2_HZ3_gfacDHWkwh</v>
      </c>
      <c r="B262" s="24" t="str">
        <f t="shared" si="24"/>
        <v>Tier2_indor2_HZ3_gfac</v>
      </c>
      <c r="C262" s="24" t="str">
        <f t="shared" si="34"/>
        <v>DHWkwh</v>
      </c>
      <c r="D262" s="25">
        <f t="shared" si="28"/>
        <v>115.23941842478985</v>
      </c>
      <c r="E262" s="25">
        <f t="shared" si="34"/>
        <v>13</v>
      </c>
      <c r="F262" s="25">
        <f t="shared" si="32"/>
        <v>1183.5005381933265</v>
      </c>
      <c r="G262" s="25">
        <f t="shared" si="32"/>
        <v>0</v>
      </c>
      <c r="H262" s="24" t="str">
        <f t="shared" si="34"/>
        <v>ResDHW</v>
      </c>
      <c r="I262" s="26">
        <f t="shared" si="33"/>
        <v>-0.7807355890106118</v>
      </c>
      <c r="J262" s="26">
        <f t="shared" si="33"/>
        <v>0</v>
      </c>
      <c r="K262" s="24">
        <f t="shared" si="34"/>
        <v>0</v>
      </c>
      <c r="L262" s="26">
        <f t="shared" si="29"/>
        <v>0</v>
      </c>
      <c r="M262" s="24">
        <f t="shared" si="34"/>
        <v>0</v>
      </c>
      <c r="N262" s="26">
        <f t="shared" si="30"/>
        <v>0</v>
      </c>
      <c r="O262" s="24">
        <f t="shared" si="34"/>
        <v>0</v>
      </c>
      <c r="P262" s="26">
        <f t="shared" si="31"/>
        <v>0</v>
      </c>
      <c r="Q262" s="24" t="str">
        <f t="shared" si="34"/>
        <v/>
      </c>
    </row>
    <row r="263" spans="1:17" ht="25.5">
      <c r="A263" t="str">
        <f t="shared" si="15"/>
        <v>Tier2_indor2_HZ3_gfacHeatkwh</v>
      </c>
      <c r="B263" s="24" t="str">
        <f t="shared" si="24"/>
        <v>Tier2_indor2_HZ3_gfac</v>
      </c>
      <c r="C263" s="24" t="str">
        <f t="shared" si="34"/>
        <v>Heatkwh</v>
      </c>
      <c r="D263" s="25">
        <f t="shared" si="28"/>
        <v>-2.2676368651478871</v>
      </c>
      <c r="E263" s="25">
        <f t="shared" si="34"/>
        <v>13</v>
      </c>
      <c r="F263" s="25">
        <f t="shared" si="32"/>
        <v>0</v>
      </c>
      <c r="G263" s="25">
        <f t="shared" si="32"/>
        <v>0</v>
      </c>
      <c r="H263" s="24" t="str">
        <f t="shared" si="34"/>
        <v>ResSpHtFAFZ3</v>
      </c>
      <c r="I263" s="26">
        <f t="shared" si="33"/>
        <v>-0.7807355890106118</v>
      </c>
      <c r="J263" s="26">
        <f t="shared" si="33"/>
        <v>0</v>
      </c>
      <c r="K263" s="24">
        <f t="shared" si="34"/>
        <v>0</v>
      </c>
      <c r="L263" s="26">
        <f t="shared" si="29"/>
        <v>0</v>
      </c>
      <c r="M263" s="24">
        <f t="shared" si="34"/>
        <v>0</v>
      </c>
      <c r="N263" s="26">
        <f t="shared" si="30"/>
        <v>0</v>
      </c>
      <c r="O263" s="24">
        <f t="shared" si="34"/>
        <v>0</v>
      </c>
      <c r="P263" s="26">
        <f t="shared" si="31"/>
        <v>-2.969934298002098</v>
      </c>
      <c r="Q263" s="24" t="str">
        <f t="shared" si="34"/>
        <v>ResSpHtFAFZ3</v>
      </c>
    </row>
    <row r="264" spans="1:17" ht="25.5">
      <c r="A264" t="str">
        <f t="shared" si="15"/>
        <v>Tier2_indor2_HZ3_gfacCoolkwh</v>
      </c>
      <c r="B264" s="24" t="str">
        <f t="shared" si="24"/>
        <v>Tier2_indor2_HZ3_gfac</v>
      </c>
      <c r="C264" s="24" t="str">
        <f t="shared" si="34"/>
        <v>Coolkwh</v>
      </c>
      <c r="D264" s="25">
        <f t="shared" si="28"/>
        <v>-2.5978749772121503</v>
      </c>
      <c r="E264" s="25">
        <f t="shared" si="34"/>
        <v>13</v>
      </c>
      <c r="F264" s="25">
        <f t="shared" si="32"/>
        <v>0</v>
      </c>
      <c r="G264" s="25">
        <f t="shared" si="32"/>
        <v>0</v>
      </c>
      <c r="H264" s="24" t="str">
        <f t="shared" si="34"/>
        <v>ResCACPNW</v>
      </c>
      <c r="I264" s="26">
        <f t="shared" si="33"/>
        <v>-0.7807355890106118</v>
      </c>
      <c r="J264" s="26">
        <f t="shared" si="33"/>
        <v>0</v>
      </c>
      <c r="K264" s="24">
        <f t="shared" si="34"/>
        <v>0</v>
      </c>
      <c r="L264" s="26">
        <f t="shared" si="29"/>
        <v>0</v>
      </c>
      <c r="M264" s="24">
        <f t="shared" si="34"/>
        <v>0</v>
      </c>
      <c r="N264" s="26">
        <f t="shared" si="30"/>
        <v>0</v>
      </c>
      <c r="O264" s="24">
        <f t="shared" si="34"/>
        <v>0</v>
      </c>
      <c r="P264" s="26">
        <f t="shared" si="31"/>
        <v>0</v>
      </c>
      <c r="Q264" s="24" t="str">
        <f t="shared" si="34"/>
        <v/>
      </c>
    </row>
    <row r="265" spans="1:17">
      <c r="A265" t="str">
        <f t="shared" si="15"/>
        <v>Tier2_indor2_HZ3_efafDHWkwh</v>
      </c>
      <c r="B265" s="24" t="str">
        <f t="shared" si="24"/>
        <v>Tier2_indor2_HZ3_efaf</v>
      </c>
      <c r="C265" s="24" t="str">
        <f t="shared" si="34"/>
        <v>DHWkwh</v>
      </c>
      <c r="D265" s="25">
        <f t="shared" si="28"/>
        <v>109.59330593789969</v>
      </c>
      <c r="E265" s="25">
        <f t="shared" si="34"/>
        <v>13</v>
      </c>
      <c r="F265" s="25">
        <f t="shared" si="32"/>
        <v>1183.5005381933265</v>
      </c>
      <c r="G265" s="25">
        <f t="shared" si="32"/>
        <v>0</v>
      </c>
      <c r="H265" s="24" t="str">
        <f t="shared" si="34"/>
        <v>ResDHW</v>
      </c>
      <c r="I265" s="26">
        <f t="shared" si="33"/>
        <v>-0.53567700994072709</v>
      </c>
      <c r="J265" s="26">
        <f t="shared" si="33"/>
        <v>0</v>
      </c>
      <c r="K265" s="24">
        <f t="shared" si="34"/>
        <v>0</v>
      </c>
      <c r="L265" s="26">
        <f t="shared" si="29"/>
        <v>0</v>
      </c>
      <c r="M265" s="24">
        <f t="shared" si="34"/>
        <v>0</v>
      </c>
      <c r="N265" s="26">
        <f t="shared" si="30"/>
        <v>0</v>
      </c>
      <c r="O265" s="24">
        <f t="shared" si="34"/>
        <v>0</v>
      </c>
      <c r="P265" s="26">
        <f t="shared" si="31"/>
        <v>0</v>
      </c>
      <c r="Q265" s="24" t="str">
        <f t="shared" si="34"/>
        <v/>
      </c>
    </row>
    <row r="266" spans="1:17" ht="25.5">
      <c r="A266" t="str">
        <f t="shared" si="15"/>
        <v>Tier2_indor2_HZ3_efafHeatkwh</v>
      </c>
      <c r="B266" s="24" t="str">
        <f t="shared" si="24"/>
        <v>Tier2_indor2_HZ3_efaf</v>
      </c>
      <c r="C266" s="24" t="str">
        <f t="shared" si="34"/>
        <v>Heatkwh</v>
      </c>
      <c r="D266" s="25">
        <f>D125-D203</f>
        <v>-53.712317021622823</v>
      </c>
      <c r="E266" s="25">
        <f t="shared" si="34"/>
        <v>13</v>
      </c>
      <c r="F266" s="25">
        <f t="shared" si="32"/>
        <v>0</v>
      </c>
      <c r="G266" s="25">
        <f t="shared" si="32"/>
        <v>0</v>
      </c>
      <c r="H266" s="24" t="str">
        <f t="shared" si="34"/>
        <v>ResSpHtFAFZ3</v>
      </c>
      <c r="I266" s="26">
        <f t="shared" si="33"/>
        <v>-0.53567700994072709</v>
      </c>
      <c r="J266" s="26">
        <f t="shared" si="33"/>
        <v>0</v>
      </c>
      <c r="K266" s="24">
        <f t="shared" si="34"/>
        <v>0</v>
      </c>
      <c r="L266" s="26">
        <f t="shared" si="29"/>
        <v>0</v>
      </c>
      <c r="M266" s="24">
        <f t="shared" si="34"/>
        <v>0</v>
      </c>
      <c r="N266" s="26">
        <f t="shared" si="30"/>
        <v>0</v>
      </c>
      <c r="O266" s="24">
        <f t="shared" si="34"/>
        <v>0</v>
      </c>
      <c r="P266" s="26">
        <f t="shared" si="31"/>
        <v>-4.0299175223415029E-2</v>
      </c>
      <c r="Q266" s="24" t="str">
        <f t="shared" si="34"/>
        <v>ResSpHtFAFZ3</v>
      </c>
    </row>
    <row r="267" spans="1:17" ht="25.5">
      <c r="A267" t="str">
        <f t="shared" si="15"/>
        <v>Tier2_indor2_HZ3_efafCoolkwh</v>
      </c>
      <c r="B267" s="24" t="str">
        <f t="shared" si="24"/>
        <v>Tier2_indor2_HZ3_efaf</v>
      </c>
      <c r="C267" s="24" t="str">
        <f t="shared" si="34"/>
        <v>Coolkwh</v>
      </c>
      <c r="D267" s="25">
        <f t="shared" si="28"/>
        <v>0</v>
      </c>
      <c r="E267" s="25">
        <f t="shared" si="34"/>
        <v>13</v>
      </c>
      <c r="F267" s="25">
        <f t="shared" si="32"/>
        <v>0</v>
      </c>
      <c r="G267" s="25">
        <f t="shared" si="32"/>
        <v>0</v>
      </c>
      <c r="H267" s="24" t="str">
        <f t="shared" si="34"/>
        <v>ResCACPNW</v>
      </c>
      <c r="I267" s="26">
        <f t="shared" si="33"/>
        <v>-0.53567700994072709</v>
      </c>
      <c r="J267" s="26">
        <f t="shared" si="33"/>
        <v>0</v>
      </c>
      <c r="K267" s="24">
        <f t="shared" si="34"/>
        <v>0</v>
      </c>
      <c r="L267" s="26">
        <f t="shared" si="29"/>
        <v>0</v>
      </c>
      <c r="M267" s="24">
        <f t="shared" si="34"/>
        <v>0</v>
      </c>
      <c r="N267" s="26">
        <f t="shared" si="30"/>
        <v>0</v>
      </c>
      <c r="O267" s="24">
        <f t="shared" si="34"/>
        <v>0</v>
      </c>
      <c r="P267" s="26">
        <f t="shared" si="31"/>
        <v>0</v>
      </c>
      <c r="Q267" s="24" t="str">
        <f t="shared" si="34"/>
        <v/>
      </c>
    </row>
    <row r="268" spans="1:17">
      <c r="A268" t="str">
        <f t="shared" si="15"/>
        <v>Tier2_indor2_HZ3_hp85DHWkwh</v>
      </c>
      <c r="B268" s="24" t="str">
        <f t="shared" si="24"/>
        <v>Tier2_indor2_HZ3_hp85</v>
      </c>
      <c r="C268" s="24" t="str">
        <f t="shared" si="34"/>
        <v>DHWkwh</v>
      </c>
      <c r="D268" s="25">
        <f t="shared" si="28"/>
        <v>115.35182958543555</v>
      </c>
      <c r="E268" s="25">
        <f t="shared" si="34"/>
        <v>13</v>
      </c>
      <c r="F268" s="25">
        <f t="shared" si="32"/>
        <v>1183.5005381933265</v>
      </c>
      <c r="G268" s="25">
        <f t="shared" si="32"/>
        <v>0</v>
      </c>
      <c r="H268" s="24" t="str">
        <f t="shared" si="34"/>
        <v>ResDHW</v>
      </c>
      <c r="I268" s="26">
        <f t="shared" si="33"/>
        <v>-0.47613744524803625</v>
      </c>
      <c r="J268" s="26">
        <f t="shared" si="33"/>
        <v>0</v>
      </c>
      <c r="K268" s="24">
        <f t="shared" si="34"/>
        <v>0</v>
      </c>
      <c r="L268" s="26">
        <f t="shared" si="29"/>
        <v>0</v>
      </c>
      <c r="M268" s="24">
        <f t="shared" si="34"/>
        <v>0</v>
      </c>
      <c r="N268" s="26">
        <f t="shared" si="30"/>
        <v>0</v>
      </c>
      <c r="O268" s="24">
        <f t="shared" si="34"/>
        <v>0</v>
      </c>
      <c r="P268" s="26">
        <f t="shared" si="31"/>
        <v>0</v>
      </c>
      <c r="Q268" s="24" t="str">
        <f t="shared" si="34"/>
        <v/>
      </c>
    </row>
    <row r="269" spans="1:17" ht="25.5">
      <c r="A269" t="str">
        <f t="shared" si="15"/>
        <v>Tier2_indor2_HZ3_hp85Heatkwh</v>
      </c>
      <c r="B269" s="24" t="str">
        <f t="shared" si="24"/>
        <v>Tier2_indor2_HZ3_hp85</v>
      </c>
      <c r="C269" s="24" t="str">
        <f t="shared" si="34"/>
        <v>Heatkwh</v>
      </c>
      <c r="D269" s="25">
        <f t="shared" si="28"/>
        <v>-47.742286733302166</v>
      </c>
      <c r="E269" s="25">
        <f t="shared" si="34"/>
        <v>13</v>
      </c>
      <c r="F269" s="25">
        <f t="shared" si="32"/>
        <v>0</v>
      </c>
      <c r="G269" s="25">
        <f t="shared" si="32"/>
        <v>0</v>
      </c>
      <c r="H269" s="24" t="str">
        <f t="shared" si="34"/>
        <v>ResSpHtHPZ3</v>
      </c>
      <c r="I269" s="26">
        <f t="shared" si="33"/>
        <v>-0.47613744524803625</v>
      </c>
      <c r="J269" s="26">
        <f t="shared" si="33"/>
        <v>0</v>
      </c>
      <c r="K269" s="24">
        <f t="shared" si="34"/>
        <v>0</v>
      </c>
      <c r="L269" s="26">
        <f t="shared" si="29"/>
        <v>0</v>
      </c>
      <c r="M269" s="24">
        <f t="shared" si="34"/>
        <v>0</v>
      </c>
      <c r="N269" s="26">
        <f t="shared" si="30"/>
        <v>0</v>
      </c>
      <c r="O269" s="24">
        <f t="shared" si="34"/>
        <v>0</v>
      </c>
      <c r="P269" s="26">
        <f t="shared" si="31"/>
        <v>-3.5819992234878584E-2</v>
      </c>
      <c r="Q269" s="24" t="str">
        <f t="shared" si="34"/>
        <v>ResSpHtHPZ3</v>
      </c>
    </row>
    <row r="270" spans="1:17" ht="25.5">
      <c r="A270" t="str">
        <f t="shared" si="15"/>
        <v>Tier2_indor2_HZ3_hp85Coolkwh</v>
      </c>
      <c r="B270" s="24" t="str">
        <f t="shared" si="24"/>
        <v>Tier2_indor2_HZ3_hp85</v>
      </c>
      <c r="C270" s="24" t="str">
        <f t="shared" si="34"/>
        <v>Coolkwh</v>
      </c>
      <c r="D270" s="25">
        <f t="shared" si="28"/>
        <v>-2.5879861293810578</v>
      </c>
      <c r="E270" s="25">
        <f t="shared" si="34"/>
        <v>13</v>
      </c>
      <c r="F270" s="25">
        <f t="shared" si="32"/>
        <v>0</v>
      </c>
      <c r="G270" s="25">
        <f t="shared" si="32"/>
        <v>0</v>
      </c>
      <c r="H270" s="24" t="str">
        <f t="shared" si="34"/>
        <v>ResCACPNW</v>
      </c>
      <c r="I270" s="26">
        <f t="shared" si="33"/>
        <v>-0.47613744524803625</v>
      </c>
      <c r="J270" s="26">
        <f t="shared" si="33"/>
        <v>0</v>
      </c>
      <c r="K270" s="24">
        <f t="shared" si="34"/>
        <v>0</v>
      </c>
      <c r="L270" s="26">
        <f t="shared" si="29"/>
        <v>0</v>
      </c>
      <c r="M270" s="24">
        <f t="shared" si="34"/>
        <v>0</v>
      </c>
      <c r="N270" s="26">
        <f t="shared" si="30"/>
        <v>0</v>
      </c>
      <c r="O270" s="24">
        <f t="shared" si="34"/>
        <v>0</v>
      </c>
      <c r="P270" s="26">
        <f t="shared" si="31"/>
        <v>0</v>
      </c>
      <c r="Q270" s="24" t="str">
        <f t="shared" si="34"/>
        <v/>
      </c>
    </row>
    <row r="271" spans="1:17">
      <c r="A271" t="str">
        <f t="shared" si="15"/>
        <v>Tier2_indor2_HZ3_zonlDHWkwh</v>
      </c>
      <c r="B271" s="24" t="str">
        <f t="shared" si="24"/>
        <v>Tier2_indor2_HZ3_zonl</v>
      </c>
      <c r="C271" s="24" t="str">
        <f t="shared" si="34"/>
        <v>DHWkwh</v>
      </c>
      <c r="D271" s="25">
        <f t="shared" si="28"/>
        <v>109.50942122294055</v>
      </c>
      <c r="E271" s="25">
        <f t="shared" si="34"/>
        <v>13</v>
      </c>
      <c r="F271" s="25">
        <f t="shared" ref="F271:G273" si="35">F130-F208</f>
        <v>1183.5005381933265</v>
      </c>
      <c r="G271" s="25">
        <f t="shared" si="35"/>
        <v>0</v>
      </c>
      <c r="H271" s="24" t="str">
        <f t="shared" si="34"/>
        <v>ResDHW</v>
      </c>
      <c r="I271" s="26">
        <f t="shared" ref="I271:J273" si="36">I130-I208</f>
        <v>-0.47131370199922618</v>
      </c>
      <c r="J271" s="26">
        <f t="shared" si="36"/>
        <v>0</v>
      </c>
      <c r="K271" s="24">
        <f t="shared" si="34"/>
        <v>0</v>
      </c>
      <c r="L271" s="26">
        <f t="shared" si="29"/>
        <v>0</v>
      </c>
      <c r="M271" s="24">
        <f t="shared" si="34"/>
        <v>0</v>
      </c>
      <c r="N271" s="26">
        <f t="shared" si="30"/>
        <v>0</v>
      </c>
      <c r="O271" s="24">
        <f t="shared" si="34"/>
        <v>0</v>
      </c>
      <c r="P271" s="26">
        <f t="shared" si="31"/>
        <v>0</v>
      </c>
      <c r="Q271" s="24" t="str">
        <f t="shared" si="34"/>
        <v/>
      </c>
    </row>
    <row r="272" spans="1:17" ht="25.5">
      <c r="A272" t="str">
        <f t="shared" si="15"/>
        <v>Tier2_indor2_HZ3_zonlHeatkwh</v>
      </c>
      <c r="B272" s="24" t="str">
        <f t="shared" si="24"/>
        <v>Tier2_indor2_HZ3_zonl</v>
      </c>
      <c r="C272" s="24" t="str">
        <f t="shared" si="34"/>
        <v>Heatkwh</v>
      </c>
      <c r="D272" s="25">
        <f>D131-D209</f>
        <v>-47.25861014871316</v>
      </c>
      <c r="E272" s="25">
        <f t="shared" si="34"/>
        <v>13</v>
      </c>
      <c r="F272" s="25">
        <f t="shared" si="35"/>
        <v>0</v>
      </c>
      <c r="G272" s="25">
        <f t="shared" si="35"/>
        <v>0</v>
      </c>
      <c r="H272" s="24" t="str">
        <f t="shared" si="34"/>
        <v>ResSpHtBBZ3</v>
      </c>
      <c r="I272" s="26">
        <f t="shared" si="36"/>
        <v>-0.47131370199922618</v>
      </c>
      <c r="J272" s="26">
        <f t="shared" si="36"/>
        <v>0</v>
      </c>
      <c r="K272" s="24">
        <f t="shared" si="34"/>
        <v>0</v>
      </c>
      <c r="L272" s="26">
        <f t="shared" si="29"/>
        <v>0</v>
      </c>
      <c r="M272" s="24">
        <f t="shared" si="34"/>
        <v>0</v>
      </c>
      <c r="N272" s="26">
        <f t="shared" si="30"/>
        <v>0</v>
      </c>
      <c r="O272" s="24">
        <f t="shared" si="34"/>
        <v>0</v>
      </c>
      <c r="P272" s="26">
        <f t="shared" si="31"/>
        <v>-3.5457100285421816E-2</v>
      </c>
      <c r="Q272" s="24" t="str">
        <f t="shared" si="34"/>
        <v>ResSpHtBBZ3</v>
      </c>
    </row>
    <row r="273" spans="1:17" ht="25.5">
      <c r="A273" t="str">
        <f t="shared" si="15"/>
        <v>Tier2_indor2_HZ3_zonlCoolkwh</v>
      </c>
      <c r="B273" s="24" t="str">
        <f t="shared" si="24"/>
        <v>Tier2_indor2_HZ3_zonl</v>
      </c>
      <c r="C273" s="24" t="str">
        <f>C132</f>
        <v>Coolkwh</v>
      </c>
      <c r="D273" s="25">
        <f t="shared" si="28"/>
        <v>0</v>
      </c>
      <c r="E273" s="25">
        <f>E132</f>
        <v>13</v>
      </c>
      <c r="F273" s="25">
        <f t="shared" si="35"/>
        <v>0</v>
      </c>
      <c r="G273" s="25">
        <f t="shared" si="35"/>
        <v>0</v>
      </c>
      <c r="H273" s="24" t="str">
        <f>H132</f>
        <v>ResCACPNW</v>
      </c>
      <c r="I273" s="26">
        <f t="shared" si="36"/>
        <v>-0.47131370199922618</v>
      </c>
      <c r="J273" s="26">
        <f t="shared" si="36"/>
        <v>0</v>
      </c>
      <c r="K273" s="24">
        <f>K132</f>
        <v>0</v>
      </c>
      <c r="L273" s="26">
        <f t="shared" si="29"/>
        <v>0</v>
      </c>
      <c r="M273" s="24">
        <f>M132</f>
        <v>0</v>
      </c>
      <c r="N273" s="26">
        <f t="shared" si="30"/>
        <v>0</v>
      </c>
      <c r="O273" s="24">
        <f>O132</f>
        <v>0</v>
      </c>
      <c r="P273" s="26">
        <f t="shared" si="31"/>
        <v>0</v>
      </c>
      <c r="Q273" s="24" t="str">
        <f>Q132</f>
        <v/>
      </c>
    </row>
    <row r="274" spans="1:17">
      <c r="B274" s="24"/>
      <c r="C274" s="24"/>
      <c r="D274" s="25"/>
      <c r="E274" s="25"/>
      <c r="F274" s="25"/>
      <c r="G274" s="25"/>
      <c r="H274" s="24"/>
      <c r="I274" s="26"/>
      <c r="J274" s="26"/>
      <c r="K274" s="24"/>
      <c r="L274" s="26"/>
      <c r="M274" s="24"/>
      <c r="N274" s="26"/>
      <c r="O274" s="24"/>
      <c r="P274" s="26"/>
      <c r="Q274" s="24"/>
    </row>
    <row r="275" spans="1:17">
      <c r="B275" s="24"/>
      <c r="C275" s="24"/>
      <c r="D275" s="25"/>
      <c r="E275" s="25"/>
      <c r="F275" s="25"/>
      <c r="G275" s="25"/>
      <c r="H275" s="24"/>
      <c r="I275" s="26"/>
      <c r="J275" s="26"/>
      <c r="K275" s="24"/>
      <c r="L275" s="26"/>
      <c r="M275" s="24"/>
      <c r="N275" s="26"/>
      <c r="O275" s="24"/>
      <c r="P275" s="26"/>
      <c r="Q275" s="24"/>
    </row>
    <row r="276" spans="1:17">
      <c r="B276" s="24"/>
      <c r="C276" s="24"/>
      <c r="D276" s="25"/>
      <c r="E276" s="25"/>
      <c r="F276" s="25"/>
      <c r="G276" s="25"/>
      <c r="H276" s="24"/>
      <c r="I276" s="26"/>
      <c r="J276" s="26"/>
      <c r="K276" s="24"/>
      <c r="L276" s="26"/>
      <c r="M276" s="24"/>
      <c r="N276" s="26"/>
      <c r="O276" s="24"/>
      <c r="P276" s="26"/>
      <c r="Q276" s="24"/>
    </row>
    <row r="277" spans="1:17">
      <c r="B277" s="24"/>
      <c r="C277" s="24"/>
      <c r="D277" s="25"/>
      <c r="E277" s="25"/>
      <c r="F277" s="25"/>
      <c r="G277" s="25"/>
      <c r="H277" s="24"/>
      <c r="I277" s="26"/>
      <c r="J277" s="26"/>
      <c r="K277" s="24"/>
      <c r="L277" s="26"/>
      <c r="M277" s="24"/>
      <c r="N277" s="26"/>
      <c r="O277" s="24"/>
      <c r="P277" s="26"/>
      <c r="Q277" s="24"/>
    </row>
    <row r="278" spans="1:17">
      <c r="B278" s="24"/>
      <c r="C278" s="24"/>
      <c r="D278" s="25"/>
      <c r="E278" s="25"/>
      <c r="F278" s="25"/>
      <c r="G278" s="25"/>
      <c r="H278" s="24"/>
      <c r="I278" s="26"/>
      <c r="J278" s="26"/>
      <c r="K278" s="24"/>
      <c r="L278" s="26"/>
      <c r="M278" s="24"/>
      <c r="N278" s="26"/>
      <c r="O278" s="24"/>
      <c r="P278" s="26"/>
      <c r="Q278" s="24"/>
    </row>
    <row r="279" spans="1:17">
      <c r="B279" s="24"/>
      <c r="C279" s="24"/>
      <c r="D279" s="25"/>
      <c r="E279" s="25"/>
      <c r="F279" s="25"/>
      <c r="G279" s="25"/>
      <c r="H279" s="24"/>
      <c r="I279" s="26"/>
      <c r="J279" s="26"/>
      <c r="K279" s="24"/>
      <c r="L279" s="26"/>
      <c r="M279" s="24"/>
      <c r="N279" s="26"/>
      <c r="O279" s="24"/>
      <c r="P279" s="26"/>
      <c r="Q279" s="24"/>
    </row>
    <row r="280" spans="1:17">
      <c r="B280" s="24"/>
      <c r="C280" s="24"/>
      <c r="D280" s="25"/>
      <c r="E280" s="25"/>
      <c r="F280" s="25"/>
      <c r="G280" s="25"/>
      <c r="H280" s="24"/>
      <c r="I280" s="26"/>
      <c r="J280" s="26"/>
      <c r="K280" s="24"/>
      <c r="L280" s="26"/>
      <c r="M280" s="24"/>
      <c r="N280" s="26"/>
      <c r="O280" s="24"/>
      <c r="P280" s="26"/>
      <c r="Q280" s="24"/>
    </row>
    <row r="281" spans="1:17">
      <c r="B281" s="24"/>
      <c r="C281" s="24"/>
      <c r="D281" s="25"/>
      <c r="E281" s="25"/>
      <c r="F281" s="25"/>
      <c r="G281" s="25"/>
      <c r="H281" s="24"/>
      <c r="I281" s="26"/>
      <c r="J281" s="26"/>
      <c r="K281" s="24"/>
      <c r="L281" s="26"/>
      <c r="M281" s="24"/>
      <c r="N281" s="26"/>
      <c r="O281" s="24"/>
      <c r="P281" s="26"/>
      <c r="Q281" s="24"/>
    </row>
    <row r="282" spans="1:17">
      <c r="B282" s="24"/>
      <c r="C282" s="24"/>
      <c r="D282" s="25"/>
      <c r="E282" s="25"/>
      <c r="F282" s="25"/>
      <c r="G282" s="25"/>
      <c r="H282" s="24"/>
      <c r="I282" s="26"/>
      <c r="J282" s="26"/>
      <c r="K282" s="24"/>
      <c r="L282" s="26"/>
      <c r="M282" s="24"/>
      <c r="N282" s="26"/>
      <c r="O282" s="24"/>
      <c r="P282" s="26"/>
      <c r="Q282" s="24"/>
    </row>
    <row r="283" spans="1:17">
      <c r="B283" s="24"/>
      <c r="C283" s="24"/>
      <c r="D283" s="25"/>
      <c r="E283" s="25"/>
      <c r="F283" s="25"/>
      <c r="G283" s="25"/>
      <c r="H283" s="24"/>
      <c r="I283" s="26"/>
      <c r="J283" s="26"/>
      <c r="K283" s="24"/>
      <c r="L283" s="26"/>
      <c r="M283" s="24"/>
      <c r="N283" s="26"/>
      <c r="O283" s="24"/>
      <c r="P283" s="26"/>
      <c r="Q283" s="24"/>
    </row>
    <row r="284" spans="1:17">
      <c r="B284" s="24"/>
      <c r="C284" s="24"/>
      <c r="D284" s="25"/>
      <c r="E284" s="25"/>
      <c r="F284" s="25"/>
      <c r="G284" s="25"/>
      <c r="H284" s="24"/>
      <c r="I284" s="26"/>
      <c r="J284" s="26"/>
      <c r="K284" s="24"/>
      <c r="L284" s="26"/>
      <c r="M284" s="24"/>
      <c r="N284" s="26"/>
      <c r="O284" s="24"/>
      <c r="P284" s="26"/>
      <c r="Q284" s="24"/>
    </row>
    <row r="285" spans="1:17">
      <c r="B285" s="24"/>
      <c r="C285" s="24"/>
      <c r="D285" s="25"/>
      <c r="E285" s="25"/>
      <c r="F285" s="25"/>
      <c r="G285" s="25"/>
      <c r="H285" s="24"/>
      <c r="I285" s="26"/>
      <c r="J285" s="26"/>
      <c r="K285" s="24"/>
      <c r="L285" s="26"/>
      <c r="M285" s="24"/>
      <c r="N285" s="26"/>
      <c r="O285" s="24"/>
      <c r="P285" s="26"/>
      <c r="Q285" s="24"/>
    </row>
    <row r="286" spans="1:17">
      <c r="B286" s="24"/>
      <c r="C286" s="24"/>
      <c r="D286" s="25"/>
      <c r="E286" s="25"/>
      <c r="F286" s="25"/>
      <c r="G286" s="25"/>
      <c r="H286" s="24"/>
      <c r="I286" s="26"/>
      <c r="J286" s="26"/>
      <c r="K286" s="24"/>
      <c r="L286" s="26"/>
      <c r="M286" s="24"/>
      <c r="N286" s="26"/>
      <c r="O286" s="24"/>
      <c r="P286" s="26"/>
      <c r="Q286" s="24"/>
    </row>
    <row r="287" spans="1:17">
      <c r="B287" s="24"/>
      <c r="C287" s="24"/>
      <c r="D287" s="25"/>
      <c r="E287" s="25"/>
      <c r="F287" s="25"/>
      <c r="G287" s="25"/>
      <c r="H287" s="24"/>
      <c r="I287" s="26"/>
      <c r="J287" s="26"/>
      <c r="K287" s="24"/>
      <c r="L287" s="26"/>
      <c r="M287" s="24"/>
      <c r="N287" s="26"/>
      <c r="O287" s="24"/>
      <c r="P287" s="26"/>
      <c r="Q287" s="24"/>
    </row>
    <row r="288" spans="1:17">
      <c r="B288" s="24"/>
      <c r="C288" s="24"/>
      <c r="D288" s="25"/>
      <c r="E288" s="25"/>
      <c r="F288" s="25"/>
      <c r="G288" s="25"/>
      <c r="H288" s="24"/>
      <c r="I288" s="26"/>
      <c r="J288" s="26"/>
      <c r="K288" s="24"/>
      <c r="L288" s="26"/>
      <c r="M288" s="24"/>
      <c r="N288" s="26"/>
      <c r="O288" s="24"/>
      <c r="P288" s="26"/>
      <c r="Q288" s="24"/>
    </row>
    <row r="289" spans="2:17">
      <c r="B289" s="24"/>
      <c r="C289" s="24"/>
      <c r="D289" s="25"/>
      <c r="E289" s="25"/>
      <c r="F289" s="25"/>
      <c r="G289" s="25"/>
      <c r="H289" s="24"/>
      <c r="I289" s="26"/>
      <c r="J289" s="26"/>
      <c r="K289" s="24"/>
      <c r="L289" s="26"/>
      <c r="M289" s="24"/>
      <c r="N289" s="26"/>
      <c r="O289" s="24"/>
      <c r="P289" s="26"/>
      <c r="Q289" s="24"/>
    </row>
    <row r="290" spans="2:17">
      <c r="B290" s="24"/>
      <c r="C290" s="24"/>
      <c r="D290" s="25"/>
      <c r="E290" s="25"/>
      <c r="F290" s="25"/>
      <c r="G290" s="25"/>
      <c r="H290" s="24"/>
      <c r="I290" s="26"/>
      <c r="J290" s="26"/>
      <c r="K290" s="24"/>
      <c r="L290" s="26"/>
      <c r="M290" s="24"/>
      <c r="N290" s="26"/>
      <c r="O290" s="24"/>
      <c r="P290" s="26"/>
      <c r="Q290" s="24"/>
    </row>
    <row r="291" spans="2:17">
      <c r="B291" s="24"/>
      <c r="C291" s="24"/>
      <c r="D291" s="25"/>
      <c r="E291" s="25"/>
      <c r="F291" s="25"/>
      <c r="G291" s="25"/>
      <c r="H291" s="24"/>
      <c r="I291" s="26"/>
      <c r="J291" s="26"/>
      <c r="K291" s="24"/>
      <c r="L291" s="26"/>
      <c r="M291" s="24"/>
      <c r="N291" s="26"/>
      <c r="O291" s="24"/>
      <c r="P291" s="26"/>
      <c r="Q291" s="24"/>
    </row>
    <row r="292" spans="2:17">
      <c r="B292" s="24"/>
      <c r="C292" s="24"/>
      <c r="D292" s="25"/>
      <c r="E292" s="25"/>
      <c r="F292" s="25"/>
      <c r="G292" s="25"/>
      <c r="H292" s="24"/>
      <c r="I292" s="26"/>
      <c r="J292" s="26"/>
      <c r="K292" s="24"/>
      <c r="L292" s="26"/>
      <c r="M292" s="24"/>
      <c r="N292" s="26"/>
      <c r="O292" s="24"/>
      <c r="P292" s="26"/>
      <c r="Q292" s="24"/>
    </row>
    <row r="293" spans="2:17">
      <c r="B293" s="24"/>
      <c r="C293" s="24"/>
      <c r="D293" s="25"/>
      <c r="E293" s="25"/>
      <c r="F293" s="25"/>
      <c r="G293" s="25"/>
      <c r="H293" s="24"/>
      <c r="I293" s="26"/>
      <c r="J293" s="26"/>
      <c r="K293" s="24"/>
      <c r="L293" s="26"/>
      <c r="M293" s="24"/>
      <c r="N293" s="26"/>
      <c r="O293" s="24"/>
      <c r="P293" s="26"/>
      <c r="Q293" s="24"/>
    </row>
    <row r="294" spans="2:17">
      <c r="B294" s="24"/>
      <c r="C294" s="24"/>
      <c r="D294" s="25"/>
      <c r="E294" s="25"/>
      <c r="F294" s="25"/>
      <c r="G294" s="25"/>
      <c r="H294" s="24"/>
      <c r="I294" s="26"/>
      <c r="J294" s="26"/>
      <c r="K294" s="24"/>
      <c r="L294" s="26"/>
      <c r="M294" s="24"/>
      <c r="N294" s="26"/>
      <c r="O294" s="24"/>
      <c r="P294" s="26"/>
      <c r="Q294" s="24"/>
    </row>
    <row r="295" spans="2:17">
      <c r="B295" s="24"/>
      <c r="C295" s="24"/>
      <c r="D295" s="25"/>
      <c r="E295" s="25"/>
      <c r="F295" s="25"/>
      <c r="G295" s="25"/>
      <c r="H295" s="24"/>
      <c r="I295" s="26"/>
      <c r="J295" s="26"/>
      <c r="K295" s="24"/>
      <c r="L295" s="26"/>
      <c r="M295" s="24"/>
      <c r="N295" s="26"/>
      <c r="O295" s="24"/>
      <c r="P295" s="26"/>
      <c r="Q295" s="24"/>
    </row>
    <row r="296" spans="2:17">
      <c r="B296" s="24"/>
      <c r="C296" s="24"/>
      <c r="D296" s="25"/>
      <c r="E296" s="25"/>
      <c r="F296" s="25"/>
      <c r="G296" s="25"/>
      <c r="H296" s="24"/>
      <c r="I296" s="26"/>
      <c r="J296" s="26"/>
      <c r="K296" s="24"/>
      <c r="L296" s="26"/>
      <c r="M296" s="24"/>
      <c r="N296" s="26"/>
      <c r="O296" s="24"/>
      <c r="P296" s="26"/>
      <c r="Q296" s="24"/>
    </row>
    <row r="297" spans="2:17">
      <c r="B297" s="24"/>
      <c r="C297" s="24"/>
      <c r="D297" s="25"/>
      <c r="E297" s="25"/>
      <c r="F297" s="25"/>
      <c r="G297" s="25"/>
      <c r="H297" s="24"/>
      <c r="I297" s="26"/>
      <c r="J297" s="26"/>
      <c r="K297" s="24"/>
      <c r="L297" s="26"/>
      <c r="M297" s="24"/>
      <c r="N297" s="26"/>
      <c r="O297" s="24"/>
      <c r="P297" s="26"/>
      <c r="Q297" s="24"/>
    </row>
    <row r="298" spans="2:17">
      <c r="B298" s="24"/>
      <c r="C298" s="24"/>
      <c r="D298" s="25"/>
      <c r="E298" s="25"/>
      <c r="F298" s="25"/>
      <c r="G298" s="25"/>
      <c r="H298" s="24"/>
      <c r="I298" s="26"/>
      <c r="J298" s="26"/>
      <c r="K298" s="24"/>
      <c r="L298" s="26"/>
      <c r="M298" s="24"/>
      <c r="N298" s="26"/>
      <c r="O298" s="24"/>
      <c r="P298" s="26"/>
      <c r="Q298" s="24"/>
    </row>
    <row r="299" spans="2:17">
      <c r="B299" s="24"/>
      <c r="C299" s="24"/>
      <c r="D299" s="25"/>
      <c r="E299" s="25"/>
      <c r="F299" s="25"/>
      <c r="G299" s="25"/>
      <c r="H299" s="24"/>
      <c r="I299" s="26"/>
      <c r="J299" s="26"/>
      <c r="K299" s="24"/>
      <c r="L299" s="26"/>
      <c r="M299" s="24"/>
      <c r="N299" s="26"/>
      <c r="O299" s="24"/>
      <c r="P299" s="26"/>
      <c r="Q299" s="24"/>
    </row>
    <row r="300" spans="2:17">
      <c r="B300" s="24"/>
      <c r="C300" s="24"/>
      <c r="D300" s="25"/>
      <c r="E300" s="25"/>
      <c r="F300" s="25"/>
      <c r="G300" s="25"/>
      <c r="H300" s="24"/>
      <c r="I300" s="26"/>
      <c r="J300" s="26"/>
      <c r="K300" s="24"/>
      <c r="L300" s="26"/>
      <c r="M300" s="24"/>
      <c r="N300" s="26"/>
      <c r="O300" s="24"/>
      <c r="P300" s="26"/>
      <c r="Q300" s="24"/>
    </row>
    <row r="301" spans="2:17">
      <c r="B301" s="24"/>
      <c r="C301" s="24"/>
      <c r="D301" s="25"/>
      <c r="E301" s="25"/>
      <c r="F301" s="25"/>
      <c r="G301" s="25"/>
      <c r="H301" s="24"/>
      <c r="I301" s="26"/>
      <c r="J301" s="26"/>
      <c r="K301" s="24"/>
      <c r="L301" s="26"/>
      <c r="M301" s="24"/>
      <c r="N301" s="26"/>
      <c r="O301" s="24"/>
      <c r="P301" s="26"/>
      <c r="Q301" s="24"/>
    </row>
    <row r="302" spans="2:17">
      <c r="B302" s="24"/>
      <c r="C302" s="24"/>
      <c r="D302" s="25"/>
      <c r="E302" s="25"/>
      <c r="F302" s="25"/>
      <c r="G302" s="25"/>
      <c r="H302" s="24"/>
      <c r="I302" s="26"/>
      <c r="J302" s="26"/>
      <c r="K302" s="24"/>
      <c r="L302" s="26"/>
      <c r="M302" s="24"/>
      <c r="N302" s="26"/>
      <c r="O302" s="24"/>
      <c r="P302" s="26"/>
      <c r="Q302" s="24"/>
    </row>
    <row r="303" spans="2:17">
      <c r="B303" s="24"/>
      <c r="C303" s="24"/>
      <c r="D303" s="25"/>
      <c r="E303" s="25"/>
      <c r="F303" s="25"/>
      <c r="G303" s="25"/>
      <c r="H303" s="24"/>
      <c r="I303" s="26"/>
      <c r="J303" s="26"/>
      <c r="K303" s="24"/>
      <c r="L303" s="26"/>
      <c r="M303" s="24"/>
      <c r="N303" s="26"/>
      <c r="O303" s="24"/>
      <c r="P303" s="26"/>
      <c r="Q303" s="24"/>
    </row>
    <row r="304" spans="2:17">
      <c r="B304" s="24"/>
      <c r="C304" s="24"/>
      <c r="D304" s="25"/>
      <c r="E304" s="25"/>
      <c r="F304" s="25"/>
      <c r="G304" s="25"/>
      <c r="H304" s="24"/>
      <c r="I304" s="26"/>
      <c r="J304" s="26"/>
      <c r="K304" s="24"/>
      <c r="L304" s="26"/>
      <c r="M304" s="24"/>
      <c r="N304" s="26"/>
      <c r="O304" s="24"/>
      <c r="P304" s="26"/>
      <c r="Q304" s="24"/>
    </row>
    <row r="305" spans="2:17">
      <c r="B305" s="24"/>
      <c r="C305" s="24"/>
      <c r="D305" s="25"/>
      <c r="E305" s="25"/>
      <c r="F305" s="25"/>
      <c r="G305" s="25"/>
      <c r="H305" s="24"/>
      <c r="I305" s="26"/>
      <c r="J305" s="26"/>
      <c r="K305" s="24"/>
      <c r="L305" s="26"/>
      <c r="M305" s="24"/>
      <c r="N305" s="26"/>
      <c r="O305" s="24"/>
      <c r="P305" s="26"/>
      <c r="Q305" s="24"/>
    </row>
    <row r="306" spans="2:17">
      <c r="B306" s="24"/>
      <c r="C306" s="24"/>
      <c r="D306" s="25"/>
      <c r="E306" s="25"/>
      <c r="F306" s="25"/>
      <c r="G306" s="25"/>
      <c r="H306" s="24"/>
      <c r="I306" s="26"/>
      <c r="J306" s="26"/>
      <c r="K306" s="24"/>
      <c r="L306" s="26"/>
      <c r="M306" s="24"/>
      <c r="N306" s="26"/>
      <c r="O306" s="24"/>
      <c r="P306" s="26"/>
      <c r="Q306" s="24"/>
    </row>
    <row r="307" spans="2:17">
      <c r="B307" s="24"/>
      <c r="C307" s="24"/>
      <c r="D307" s="25"/>
      <c r="E307" s="25"/>
      <c r="F307" s="25"/>
      <c r="G307" s="25"/>
      <c r="H307" s="24"/>
      <c r="I307" s="26"/>
      <c r="J307" s="26"/>
      <c r="K307" s="24"/>
      <c r="L307" s="26"/>
      <c r="M307" s="24"/>
      <c r="N307" s="26"/>
      <c r="O307" s="24"/>
      <c r="P307" s="26"/>
      <c r="Q307" s="24"/>
    </row>
    <row r="308" spans="2:17">
      <c r="B308" s="24"/>
      <c r="C308" s="24"/>
      <c r="D308" s="25"/>
      <c r="E308" s="25"/>
      <c r="F308" s="25"/>
      <c r="G308" s="25"/>
      <c r="H308" s="24"/>
      <c r="I308" s="26"/>
      <c r="J308" s="26"/>
      <c r="K308" s="24"/>
      <c r="L308" s="26"/>
      <c r="M308" s="24"/>
      <c r="N308" s="26"/>
      <c r="O308" s="24"/>
      <c r="P308" s="26"/>
      <c r="Q308" s="24"/>
    </row>
    <row r="309" spans="2:17">
      <c r="B309" s="24"/>
      <c r="C309" s="24"/>
      <c r="D309" s="25"/>
      <c r="E309" s="25"/>
      <c r="F309" s="25"/>
      <c r="G309" s="25"/>
      <c r="H309" s="24"/>
      <c r="I309" s="26"/>
      <c r="J309" s="26"/>
      <c r="K309" s="24"/>
      <c r="L309" s="26"/>
      <c r="M309" s="24"/>
      <c r="N309" s="26"/>
      <c r="O309" s="24"/>
      <c r="P309" s="26"/>
      <c r="Q309" s="24"/>
    </row>
    <row r="310" spans="2:17">
      <c r="B310" s="24"/>
      <c r="C310" s="24"/>
      <c r="D310" s="25"/>
      <c r="E310" s="25"/>
      <c r="F310" s="25"/>
      <c r="G310" s="25"/>
      <c r="H310" s="24"/>
      <c r="I310" s="26"/>
      <c r="J310" s="26"/>
      <c r="K310" s="24"/>
      <c r="L310" s="26"/>
      <c r="M310" s="24"/>
      <c r="N310" s="26"/>
      <c r="O310" s="24"/>
      <c r="P310" s="26"/>
      <c r="Q310" s="24"/>
    </row>
    <row r="311" spans="2:17">
      <c r="B311" s="24"/>
      <c r="C311" s="24"/>
      <c r="D311" s="25"/>
      <c r="E311" s="25"/>
      <c r="F311" s="25"/>
      <c r="G311" s="25"/>
      <c r="H311" s="24"/>
      <c r="I311" s="26"/>
      <c r="J311" s="26"/>
      <c r="K311" s="24"/>
      <c r="L311" s="26"/>
      <c r="M311" s="24"/>
      <c r="N311" s="26"/>
      <c r="O311" s="24"/>
      <c r="P311" s="26"/>
      <c r="Q311" s="24"/>
    </row>
    <row r="312" spans="2:17">
      <c r="B312" s="24"/>
      <c r="C312" s="24"/>
      <c r="D312" s="25"/>
      <c r="E312" s="25"/>
      <c r="F312" s="25"/>
      <c r="G312" s="25"/>
      <c r="H312" s="24"/>
      <c r="I312" s="26"/>
      <c r="J312" s="26"/>
      <c r="K312" s="24"/>
      <c r="L312" s="26"/>
      <c r="M312" s="24"/>
      <c r="N312" s="26"/>
      <c r="O312" s="24"/>
      <c r="P312" s="26"/>
      <c r="Q312" s="24"/>
    </row>
    <row r="313" spans="2:17">
      <c r="B313" s="24"/>
      <c r="C313" s="24"/>
      <c r="D313" s="25"/>
      <c r="E313" s="25"/>
      <c r="F313" s="25"/>
      <c r="G313" s="25"/>
      <c r="H313" s="24"/>
      <c r="I313" s="26"/>
      <c r="J313" s="26"/>
      <c r="K313" s="24"/>
      <c r="L313" s="26"/>
      <c r="M313" s="24"/>
      <c r="N313" s="26"/>
      <c r="O313" s="24"/>
      <c r="P313" s="26"/>
      <c r="Q313" s="24"/>
    </row>
    <row r="314" spans="2:17">
      <c r="B314" s="24"/>
      <c r="C314" s="24"/>
      <c r="D314" s="25"/>
      <c r="E314" s="25"/>
      <c r="F314" s="25"/>
      <c r="G314" s="25"/>
      <c r="H314" s="24"/>
      <c r="I314" s="26"/>
      <c r="J314" s="26"/>
      <c r="K314" s="24"/>
      <c r="L314" s="26"/>
      <c r="M314" s="24"/>
      <c r="N314" s="26"/>
      <c r="O314" s="24"/>
      <c r="P314" s="26"/>
      <c r="Q314" s="24"/>
    </row>
    <row r="315" spans="2:17">
      <c r="B315" s="24"/>
      <c r="C315" s="24"/>
      <c r="D315" s="25"/>
      <c r="E315" s="25"/>
      <c r="F315" s="25"/>
      <c r="G315" s="25"/>
      <c r="H315" s="24"/>
      <c r="I315" s="26"/>
      <c r="J315" s="26"/>
      <c r="K315" s="24"/>
      <c r="L315" s="26"/>
      <c r="M315" s="24"/>
      <c r="N315" s="26"/>
      <c r="O315" s="24"/>
      <c r="P315" s="26"/>
      <c r="Q315" s="24"/>
    </row>
    <row r="316" spans="2:17">
      <c r="B316" s="24"/>
      <c r="C316" s="24"/>
      <c r="D316" s="25"/>
      <c r="E316" s="25"/>
      <c r="F316" s="25"/>
      <c r="G316" s="25"/>
      <c r="H316" s="24"/>
      <c r="I316" s="26"/>
      <c r="J316" s="26"/>
      <c r="K316" s="24"/>
      <c r="L316" s="26"/>
      <c r="M316" s="24"/>
      <c r="N316" s="26"/>
      <c r="O316" s="24"/>
      <c r="P316" s="26"/>
      <c r="Q316" s="24"/>
    </row>
    <row r="317" spans="2:17">
      <c r="B317" s="24"/>
      <c r="C317" s="24"/>
      <c r="D317" s="25"/>
      <c r="E317" s="25"/>
      <c r="F317" s="25"/>
      <c r="G317" s="25"/>
      <c r="H317" s="24"/>
      <c r="I317" s="26"/>
      <c r="J317" s="26"/>
      <c r="K317" s="24"/>
      <c r="L317" s="26"/>
      <c r="M317" s="24"/>
      <c r="N317" s="26"/>
      <c r="O317" s="24"/>
      <c r="P317" s="26"/>
      <c r="Q317" s="24"/>
    </row>
    <row r="318" spans="2:17">
      <c r="B318" s="24"/>
      <c r="C318" s="24"/>
      <c r="D318" s="25"/>
      <c r="E318" s="25"/>
      <c r="F318" s="25"/>
      <c r="G318" s="25"/>
      <c r="H318" s="24"/>
      <c r="I318" s="26"/>
      <c r="J318" s="26"/>
      <c r="K318" s="24"/>
      <c r="L318" s="26"/>
      <c r="M318" s="24"/>
      <c r="N318" s="26"/>
      <c r="O318" s="24"/>
      <c r="P318" s="26"/>
      <c r="Q318" s="24"/>
    </row>
  </sheetData>
  <mergeCells count="4">
    <mergeCell ref="J5:O5"/>
    <mergeCell ref="P5:Q5"/>
    <mergeCell ref="J146:O146"/>
    <mergeCell ref="P146:Q146"/>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sheetPr codeName="Sheet10"/>
  <dimension ref="A1:DA178"/>
  <sheetViews>
    <sheetView workbookViewId="0">
      <selection activeCell="C8" sqref="C8"/>
    </sheetView>
  </sheetViews>
  <sheetFormatPr defaultColWidth="13.42578125" defaultRowHeight="12.75"/>
  <cols>
    <col min="1" max="1" width="34.85546875" style="7" customWidth="1"/>
    <col min="2" max="16384" width="13.42578125" style="7"/>
  </cols>
  <sheetData>
    <row r="1" spans="1:105">
      <c r="A1" s="117" t="s">
        <v>425</v>
      </c>
      <c r="B1" s="118" t="s">
        <v>426</v>
      </c>
      <c r="C1" s="118" t="str">
        <f>IF(AND('[3]ProCost 6th Plan Inputs'!B66=TRUE,'[3]ProCost 6th Plan Inputs'!B69=TRUE,'[3]ProCost 6th Plan Inputs'!B72=TRUE),"","Re-run ProCost")</f>
        <v/>
      </c>
      <c r="D1" s="118" t="str">
        <f>IF(AND('[3]ProCost 6th Plan Inputs'!C66=TRUE,'[3]ProCost 6th Plan Inputs'!C69=TRUE,'[3]ProCost 6th Plan Inputs'!C72=TRUE),"","Re-run ProCost")</f>
        <v/>
      </c>
      <c r="E1" s="118" t="str">
        <f>IF(AND('[3]ProCost 6th Plan Inputs'!D66=TRUE,'[3]ProCost 6th Plan Inputs'!D69=TRUE,'[3]ProCost 6th Plan Inputs'!D72=TRUE),"","Re-run ProCost")</f>
        <v/>
      </c>
      <c r="F1" s="118" t="str">
        <f>IF(AND('[3]ProCost 6th Plan Inputs'!E66=TRUE,'[3]ProCost 6th Plan Inputs'!E69=TRUE,'[3]ProCost 6th Plan Inputs'!E72=TRUE),"","Re-run ProCost")</f>
        <v/>
      </c>
      <c r="G1" s="118" t="str">
        <f>IF(AND('[3]ProCost 6th Plan Inputs'!F66=TRUE,'[3]ProCost 6th Plan Inputs'!F69=TRUE,'[3]ProCost 6th Plan Inputs'!F72=TRUE),"","Re-run ProCost")</f>
        <v/>
      </c>
      <c r="H1" s="119"/>
      <c r="I1" s="120"/>
      <c r="J1" s="120"/>
      <c r="K1" s="120"/>
      <c r="L1" s="120"/>
      <c r="M1" s="120"/>
      <c r="N1" s="121"/>
      <c r="O1" s="122" t="str">
        <f>IF(AND('[3]ProCost 6th Plan Inputs'!G66=TRUE,'[3]ProCost 6th Plan Inputs'!G69=TRUE,'[3]ProCost 6th Plan Inputs'!G72=TRUE),"","Re-run ProCost")</f>
        <v/>
      </c>
      <c r="P1" s="121"/>
      <c r="Q1" s="121"/>
      <c r="R1" s="121"/>
      <c r="S1" s="119"/>
      <c r="T1" s="119"/>
      <c r="U1" s="119"/>
      <c r="V1" s="121"/>
      <c r="W1" s="119"/>
      <c r="X1" s="119"/>
      <c r="Y1" s="119"/>
      <c r="Z1" s="119"/>
      <c r="AA1" s="119"/>
      <c r="AB1" s="119"/>
      <c r="AC1" s="119"/>
      <c r="AD1" s="119"/>
      <c r="AE1" s="119"/>
      <c r="AF1" s="119"/>
      <c r="AG1" s="119"/>
      <c r="AH1" s="119"/>
      <c r="AI1" s="119"/>
      <c r="AJ1" s="119"/>
      <c r="AK1" s="119"/>
      <c r="AL1" s="119"/>
      <c r="AM1" s="119"/>
      <c r="AN1" s="119"/>
      <c r="AO1" s="119"/>
      <c r="AP1" s="123"/>
      <c r="AQ1" s="119"/>
      <c r="AR1" s="119"/>
      <c r="AS1" s="119"/>
      <c r="AT1" s="119"/>
      <c r="AU1" s="119"/>
      <c r="AV1" s="123"/>
      <c r="AW1" s="119"/>
      <c r="AX1" s="119"/>
      <c r="AY1" s="119"/>
      <c r="AZ1" s="119"/>
      <c r="BA1" s="119"/>
      <c r="BB1" s="119"/>
      <c r="BC1" s="119"/>
      <c r="BD1" s="119"/>
      <c r="BE1" s="119"/>
      <c r="BF1" s="119"/>
      <c r="BG1" s="119"/>
      <c r="BH1" s="119"/>
      <c r="BI1" s="119"/>
      <c r="BJ1" s="119"/>
      <c r="BK1" s="119"/>
      <c r="BL1" s="119"/>
      <c r="BM1" s="124"/>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23"/>
      <c r="CQ1" s="119"/>
      <c r="CR1" s="119"/>
      <c r="CS1" s="119"/>
      <c r="CT1" s="119"/>
      <c r="CU1" s="119"/>
      <c r="CV1" s="119"/>
      <c r="CW1" s="119"/>
      <c r="CX1" s="119"/>
      <c r="CY1" s="119"/>
      <c r="CZ1" s="119"/>
      <c r="DA1" s="119"/>
    </row>
    <row r="2" spans="1:105">
      <c r="A2" s="125" t="s">
        <v>1</v>
      </c>
      <c r="B2" s="119"/>
      <c r="C2" s="119"/>
      <c r="D2" s="119"/>
      <c r="E2" s="119"/>
      <c r="F2" s="119"/>
      <c r="G2" s="119"/>
      <c r="H2" s="119"/>
      <c r="I2" s="120"/>
      <c r="J2" s="120"/>
      <c r="K2" s="120"/>
      <c r="L2" s="120"/>
      <c r="M2" s="120"/>
      <c r="N2" s="121"/>
      <c r="O2" s="121"/>
      <c r="P2" s="121"/>
      <c r="Q2" s="121"/>
      <c r="R2" s="121"/>
      <c r="S2" s="119"/>
      <c r="T2" s="119"/>
      <c r="U2" s="119"/>
      <c r="V2" s="121"/>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23"/>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row>
    <row r="3" spans="1:105">
      <c r="A3" s="125" t="s">
        <v>2</v>
      </c>
      <c r="C3" s="125">
        <v>2006</v>
      </c>
      <c r="J3" s="9"/>
      <c r="K3" s="10"/>
      <c r="CO3" s="10"/>
      <c r="CP3" s="10"/>
    </row>
    <row r="5" spans="1:105">
      <c r="A5" s="126">
        <v>1</v>
      </c>
      <c r="B5" s="126">
        <v>2</v>
      </c>
      <c r="C5" s="126">
        <v>3</v>
      </c>
      <c r="D5" s="126">
        <v>4</v>
      </c>
      <c r="E5" s="126">
        <v>5</v>
      </c>
      <c r="F5" s="126">
        <v>6</v>
      </c>
      <c r="G5" s="126">
        <v>7</v>
      </c>
      <c r="H5" s="126">
        <v>8</v>
      </c>
      <c r="I5" s="126">
        <v>9</v>
      </c>
      <c r="J5" s="126">
        <v>10</v>
      </c>
      <c r="K5" s="126">
        <v>11</v>
      </c>
      <c r="L5" s="126">
        <v>12</v>
      </c>
      <c r="M5" s="126">
        <v>13</v>
      </c>
      <c r="N5" s="126">
        <v>14</v>
      </c>
      <c r="O5" s="126">
        <v>15</v>
      </c>
      <c r="P5" s="126">
        <v>16</v>
      </c>
      <c r="Q5" s="126">
        <v>17</v>
      </c>
      <c r="R5" s="126">
        <v>18</v>
      </c>
      <c r="S5" s="126">
        <v>19</v>
      </c>
      <c r="T5" s="126">
        <v>20</v>
      </c>
      <c r="U5" s="126">
        <v>21</v>
      </c>
      <c r="V5" s="126">
        <v>22</v>
      </c>
      <c r="W5" s="126">
        <v>23</v>
      </c>
      <c r="X5" s="126">
        <v>24</v>
      </c>
      <c r="Y5" s="126">
        <v>25</v>
      </c>
      <c r="Z5" s="126">
        <v>26</v>
      </c>
      <c r="AA5" s="126">
        <v>27</v>
      </c>
      <c r="AB5" s="126">
        <v>28</v>
      </c>
      <c r="AC5" s="126">
        <v>29</v>
      </c>
      <c r="AD5" s="126">
        <v>30</v>
      </c>
      <c r="AE5" s="126">
        <v>31</v>
      </c>
      <c r="AF5" s="126">
        <v>32</v>
      </c>
      <c r="AG5" s="126">
        <v>33</v>
      </c>
      <c r="AH5" s="126">
        <v>34</v>
      </c>
      <c r="AI5" s="126">
        <v>35</v>
      </c>
      <c r="AJ5" s="126">
        <v>36</v>
      </c>
      <c r="AK5" s="126">
        <v>37</v>
      </c>
      <c r="AL5" s="126">
        <v>38</v>
      </c>
      <c r="AM5" s="126">
        <v>39</v>
      </c>
      <c r="AN5" s="126">
        <v>40</v>
      </c>
      <c r="AO5" s="126">
        <v>41</v>
      </c>
      <c r="AP5" s="126">
        <v>42</v>
      </c>
      <c r="AQ5" s="126">
        <v>43</v>
      </c>
      <c r="AR5" s="126">
        <v>44</v>
      </c>
      <c r="AS5" s="126">
        <v>45</v>
      </c>
      <c r="AT5" s="126">
        <v>46</v>
      </c>
      <c r="AU5" s="126">
        <v>47</v>
      </c>
      <c r="AV5" s="126">
        <v>48</v>
      </c>
      <c r="AW5" s="126">
        <v>49</v>
      </c>
      <c r="AX5" s="126">
        <v>50</v>
      </c>
      <c r="AY5" s="126">
        <v>51</v>
      </c>
      <c r="AZ5" s="126">
        <v>52</v>
      </c>
      <c r="BA5" s="126">
        <v>53</v>
      </c>
      <c r="BB5" s="126">
        <v>54</v>
      </c>
      <c r="BC5" s="126">
        <v>55</v>
      </c>
      <c r="BD5" s="126">
        <v>56</v>
      </c>
      <c r="BE5" s="126">
        <v>57</v>
      </c>
      <c r="BF5" s="126">
        <v>58</v>
      </c>
      <c r="BG5" s="126">
        <v>59</v>
      </c>
      <c r="BH5" s="126">
        <v>60</v>
      </c>
      <c r="BI5" s="126">
        <v>61</v>
      </c>
      <c r="BJ5" s="126">
        <v>62</v>
      </c>
      <c r="BK5" s="126">
        <v>63</v>
      </c>
      <c r="BL5" s="126">
        <v>64</v>
      </c>
      <c r="BM5" s="126">
        <v>65</v>
      </c>
      <c r="BN5" s="126">
        <v>66</v>
      </c>
      <c r="BO5" s="126">
        <v>67</v>
      </c>
      <c r="BP5" s="126">
        <v>68</v>
      </c>
      <c r="BQ5" s="126">
        <v>69</v>
      </c>
      <c r="BR5" s="126">
        <v>70</v>
      </c>
      <c r="BS5" s="126">
        <v>71</v>
      </c>
      <c r="BT5" s="126">
        <v>72</v>
      </c>
      <c r="BU5" s="126">
        <v>73</v>
      </c>
      <c r="BV5" s="126">
        <v>74</v>
      </c>
      <c r="BW5" s="126">
        <v>75</v>
      </c>
      <c r="BX5" s="126">
        <v>76</v>
      </c>
      <c r="BY5" s="126">
        <v>77</v>
      </c>
      <c r="BZ5" s="126">
        <v>78</v>
      </c>
      <c r="CA5" s="126">
        <v>79</v>
      </c>
      <c r="CB5" s="126">
        <v>80</v>
      </c>
      <c r="CC5" s="126">
        <v>81</v>
      </c>
      <c r="CD5" s="126">
        <v>82</v>
      </c>
      <c r="CE5" s="126">
        <v>83</v>
      </c>
      <c r="CF5" s="126">
        <v>84</v>
      </c>
      <c r="CG5" s="126">
        <v>85</v>
      </c>
      <c r="CH5" s="126">
        <v>86</v>
      </c>
      <c r="CI5" s="126">
        <v>87</v>
      </c>
      <c r="CJ5" s="126">
        <v>88</v>
      </c>
      <c r="CK5" s="126">
        <v>89</v>
      </c>
      <c r="CL5" s="126">
        <v>90</v>
      </c>
      <c r="CM5" s="126">
        <v>91</v>
      </c>
      <c r="CN5" s="126">
        <v>92</v>
      </c>
      <c r="CO5" s="126">
        <v>93</v>
      </c>
      <c r="CP5" s="126">
        <v>94</v>
      </c>
      <c r="CQ5" s="126">
        <v>95</v>
      </c>
      <c r="CR5" s="126">
        <v>96</v>
      </c>
      <c r="CS5" s="126">
        <v>97</v>
      </c>
      <c r="CT5" s="126">
        <v>98</v>
      </c>
      <c r="CU5" s="126">
        <v>99</v>
      </c>
      <c r="CV5" s="126">
        <v>100</v>
      </c>
      <c r="CW5" s="126">
        <v>101</v>
      </c>
      <c r="CX5" s="126">
        <v>102</v>
      </c>
      <c r="CY5" s="126">
        <v>103</v>
      </c>
      <c r="CZ5" s="126">
        <v>104</v>
      </c>
      <c r="DA5" s="126">
        <v>105</v>
      </c>
    </row>
    <row r="6" spans="1:105">
      <c r="A6" s="127" t="s">
        <v>3</v>
      </c>
      <c r="B6" s="128"/>
      <c r="C6" s="128"/>
      <c r="D6" s="128"/>
      <c r="E6" s="128"/>
      <c r="F6" s="128"/>
      <c r="G6" s="129"/>
      <c r="H6" s="130"/>
      <c r="I6" s="221" t="s">
        <v>4</v>
      </c>
      <c r="J6" s="222"/>
      <c r="K6" s="222"/>
      <c r="L6" s="222"/>
      <c r="M6" s="222"/>
      <c r="N6" s="223"/>
      <c r="O6" s="224" t="s">
        <v>5</v>
      </c>
      <c r="P6" s="225"/>
      <c r="Q6" s="131"/>
      <c r="R6" s="132"/>
      <c r="S6" s="132"/>
      <c r="T6" s="132"/>
      <c r="U6" s="132"/>
      <c r="V6" s="132"/>
      <c r="W6" s="132"/>
      <c r="X6" s="133"/>
      <c r="Y6" s="134"/>
      <c r="Z6" s="132"/>
      <c r="AA6" s="132"/>
      <c r="AB6" s="132"/>
      <c r="AC6" s="132"/>
      <c r="AD6" s="132"/>
      <c r="AE6" s="135"/>
      <c r="AF6" s="135"/>
      <c r="AG6" s="135"/>
      <c r="AH6" s="135"/>
      <c r="AI6" s="135"/>
      <c r="AJ6" s="135"/>
      <c r="AK6" s="135"/>
      <c r="AL6" s="135"/>
      <c r="AM6" s="135"/>
      <c r="AN6" s="135"/>
      <c r="AO6" s="135"/>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row>
    <row r="7" spans="1:105" ht="25.5">
      <c r="A7" s="22" t="s">
        <v>6</v>
      </c>
      <c r="B7" s="22" t="s">
        <v>7</v>
      </c>
      <c r="C7" s="22" t="s">
        <v>8</v>
      </c>
      <c r="D7" s="22" t="s">
        <v>9</v>
      </c>
      <c r="E7" s="22" t="s">
        <v>10</v>
      </c>
      <c r="F7" s="136" t="s">
        <v>11</v>
      </c>
      <c r="G7" s="22" t="s">
        <v>12</v>
      </c>
      <c r="H7" s="87" t="s">
        <v>13</v>
      </c>
      <c r="I7" s="87" t="s">
        <v>14</v>
      </c>
      <c r="J7" s="87" t="s">
        <v>15</v>
      </c>
      <c r="K7" s="87" t="s">
        <v>16</v>
      </c>
      <c r="L7" s="87" t="s">
        <v>17</v>
      </c>
      <c r="M7" s="87" t="s">
        <v>18</v>
      </c>
      <c r="N7" s="87" t="s">
        <v>19</v>
      </c>
      <c r="O7" s="87" t="s">
        <v>20</v>
      </c>
      <c r="P7" s="87" t="s">
        <v>12</v>
      </c>
      <c r="Q7" s="137"/>
      <c r="R7" s="137"/>
      <c r="S7" s="137"/>
      <c r="T7" s="137"/>
      <c r="U7" s="137"/>
      <c r="V7" s="137"/>
      <c r="W7" s="137"/>
      <c r="X7" s="137"/>
      <c r="Y7" s="137"/>
      <c r="Z7" s="137"/>
      <c r="AA7" s="137"/>
      <c r="AB7" s="137"/>
      <c r="AC7" s="137"/>
      <c r="AD7" s="137"/>
      <c r="AE7" s="135"/>
      <c r="AF7" s="135"/>
      <c r="AG7" s="135"/>
      <c r="AH7" s="135"/>
      <c r="AI7" s="135"/>
      <c r="AJ7" s="135"/>
      <c r="AK7" s="135"/>
      <c r="AL7" s="135"/>
      <c r="AM7" s="135"/>
      <c r="AN7" s="135"/>
      <c r="AO7" s="135"/>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row>
    <row r="8" spans="1:105" ht="12.75" customHeight="1">
      <c r="A8" s="138" t="s">
        <v>355</v>
      </c>
      <c r="B8" s="138" t="s">
        <v>356</v>
      </c>
      <c r="C8" s="139">
        <v>1016.3640964593774</v>
      </c>
      <c r="D8" s="35">
        <v>13</v>
      </c>
      <c r="E8" s="139">
        <v>654.550608585237</v>
      </c>
      <c r="F8" s="140">
        <v>0</v>
      </c>
      <c r="G8" s="141" t="s">
        <v>55</v>
      </c>
      <c r="H8" s="142">
        <v>0</v>
      </c>
      <c r="O8" s="29">
        <v>0</v>
      </c>
      <c r="P8" s="141" t="s">
        <v>427</v>
      </c>
      <c r="R8" s="33"/>
      <c r="S8" s="48"/>
    </row>
    <row r="9" spans="1:105" ht="12.75" customHeight="1">
      <c r="A9" s="138" t="s">
        <v>355</v>
      </c>
      <c r="B9" s="138" t="s">
        <v>357</v>
      </c>
      <c r="C9" s="139">
        <v>0</v>
      </c>
      <c r="D9" s="35">
        <v>13</v>
      </c>
      <c r="E9" s="139">
        <v>0</v>
      </c>
      <c r="F9" s="140">
        <v>0</v>
      </c>
      <c r="G9" s="141" t="s">
        <v>358</v>
      </c>
      <c r="H9" s="142">
        <v>0</v>
      </c>
      <c r="O9" s="29">
        <v>0</v>
      </c>
      <c r="P9" s="141" t="s">
        <v>427</v>
      </c>
      <c r="R9" s="33"/>
      <c r="S9" s="48"/>
    </row>
    <row r="10" spans="1:105" ht="12.75" customHeight="1">
      <c r="A10" s="138" t="s">
        <v>355</v>
      </c>
      <c r="B10" s="138" t="s">
        <v>359</v>
      </c>
      <c r="C10" s="139">
        <v>0</v>
      </c>
      <c r="D10" s="35">
        <v>13</v>
      </c>
      <c r="E10" s="139">
        <v>0</v>
      </c>
      <c r="F10" s="140">
        <v>0</v>
      </c>
      <c r="G10" s="141" t="s">
        <v>360</v>
      </c>
      <c r="H10" s="142">
        <v>0</v>
      </c>
      <c r="O10" s="29">
        <v>0</v>
      </c>
      <c r="P10" s="141" t="s">
        <v>427</v>
      </c>
      <c r="R10" s="33"/>
      <c r="S10" s="48"/>
    </row>
    <row r="11" spans="1:105" ht="12.75" customHeight="1">
      <c r="A11" s="138" t="s">
        <v>361</v>
      </c>
      <c r="B11" s="138" t="s">
        <v>356</v>
      </c>
      <c r="C11" s="139">
        <v>846.8559718231312</v>
      </c>
      <c r="D11" s="35">
        <v>13</v>
      </c>
      <c r="E11" s="139">
        <v>654.550608585237</v>
      </c>
      <c r="F11" s="140">
        <v>0</v>
      </c>
      <c r="G11" s="141" t="s">
        <v>55</v>
      </c>
      <c r="H11" s="142">
        <v>0</v>
      </c>
      <c r="O11" s="29">
        <v>0</v>
      </c>
      <c r="P11" s="141" t="s">
        <v>427</v>
      </c>
      <c r="R11" s="33"/>
      <c r="S11" s="48"/>
    </row>
    <row r="12" spans="1:105" ht="12.75" customHeight="1">
      <c r="A12" s="138" t="s">
        <v>361</v>
      </c>
      <c r="B12" s="138" t="s">
        <v>357</v>
      </c>
      <c r="C12" s="139">
        <v>0</v>
      </c>
      <c r="D12" s="35">
        <v>13</v>
      </c>
      <c r="E12" s="139">
        <v>0</v>
      </c>
      <c r="F12" s="140">
        <v>0</v>
      </c>
      <c r="G12" s="141" t="s">
        <v>362</v>
      </c>
      <c r="H12" s="142">
        <v>0</v>
      </c>
      <c r="O12" s="29">
        <v>0</v>
      </c>
      <c r="P12" s="141" t="s">
        <v>427</v>
      </c>
      <c r="R12" s="33"/>
      <c r="S12" s="48"/>
    </row>
    <row r="13" spans="1:105" ht="12.75" customHeight="1">
      <c r="A13" s="138" t="s">
        <v>361</v>
      </c>
      <c r="B13" s="138" t="s">
        <v>359</v>
      </c>
      <c r="C13" s="139">
        <v>0</v>
      </c>
      <c r="D13" s="35">
        <v>13</v>
      </c>
      <c r="E13" s="139">
        <v>0</v>
      </c>
      <c r="F13" s="140">
        <v>0</v>
      </c>
      <c r="G13" s="141" t="s">
        <v>360</v>
      </c>
      <c r="H13" s="142">
        <v>0</v>
      </c>
      <c r="O13" s="29">
        <v>0</v>
      </c>
      <c r="P13" s="141" t="s">
        <v>427</v>
      </c>
      <c r="R13" s="33"/>
      <c r="S13" s="48"/>
    </row>
    <row r="14" spans="1:105" ht="12.75" customHeight="1">
      <c r="A14" s="138" t="s">
        <v>363</v>
      </c>
      <c r="B14" s="138" t="s">
        <v>356</v>
      </c>
      <c r="C14" s="139">
        <v>708.18500587491906</v>
      </c>
      <c r="D14" s="35">
        <v>13</v>
      </c>
      <c r="E14" s="139">
        <v>654.550608585237</v>
      </c>
      <c r="F14" s="140">
        <v>0</v>
      </c>
      <c r="G14" s="141" t="s">
        <v>55</v>
      </c>
      <c r="H14" s="142">
        <v>0</v>
      </c>
      <c r="O14" s="29">
        <v>0</v>
      </c>
      <c r="P14" s="141" t="s">
        <v>427</v>
      </c>
      <c r="R14" s="33"/>
      <c r="S14" s="48"/>
    </row>
    <row r="15" spans="1:105" ht="12.75" customHeight="1">
      <c r="A15" s="138" t="s">
        <v>363</v>
      </c>
      <c r="B15" s="138" t="s">
        <v>357</v>
      </c>
      <c r="C15" s="139">
        <v>0</v>
      </c>
      <c r="D15" s="35">
        <v>13</v>
      </c>
      <c r="E15" s="139">
        <v>0</v>
      </c>
      <c r="F15" s="140">
        <v>0</v>
      </c>
      <c r="G15" s="141" t="s">
        <v>364</v>
      </c>
      <c r="H15" s="142">
        <v>0</v>
      </c>
      <c r="O15" s="29">
        <v>0</v>
      </c>
      <c r="P15" s="141" t="s">
        <v>427</v>
      </c>
      <c r="R15" s="33"/>
      <c r="S15" s="48"/>
    </row>
    <row r="16" spans="1:105" ht="12.75" customHeight="1">
      <c r="A16" s="138" t="s">
        <v>363</v>
      </c>
      <c r="B16" s="138" t="s">
        <v>359</v>
      </c>
      <c r="C16" s="139">
        <v>0</v>
      </c>
      <c r="D16" s="35">
        <v>13</v>
      </c>
      <c r="E16" s="139">
        <v>0</v>
      </c>
      <c r="F16" s="140">
        <v>0</v>
      </c>
      <c r="G16" s="141" t="s">
        <v>360</v>
      </c>
      <c r="H16" s="142">
        <v>0</v>
      </c>
      <c r="O16" s="29">
        <v>0</v>
      </c>
      <c r="P16" s="141" t="s">
        <v>427</v>
      </c>
      <c r="R16" s="33"/>
      <c r="S16" s="48"/>
    </row>
    <row r="17" spans="1:19">
      <c r="A17" s="138" t="s">
        <v>365</v>
      </c>
      <c r="B17" s="138" t="s">
        <v>356</v>
      </c>
      <c r="C17" s="139">
        <v>1116.4145429490518</v>
      </c>
      <c r="D17" s="35">
        <v>13</v>
      </c>
      <c r="E17" s="139">
        <v>654.550608585237</v>
      </c>
      <c r="F17" s="140">
        <v>0</v>
      </c>
      <c r="G17" s="141" t="s">
        <v>55</v>
      </c>
      <c r="H17" s="142">
        <v>0</v>
      </c>
      <c r="O17" s="29">
        <v>0</v>
      </c>
      <c r="P17" s="141" t="s">
        <v>427</v>
      </c>
      <c r="R17" s="33"/>
      <c r="S17" s="48"/>
    </row>
    <row r="18" spans="1:19">
      <c r="A18" s="138" t="s">
        <v>365</v>
      </c>
      <c r="B18" s="138" t="s">
        <v>357</v>
      </c>
      <c r="C18" s="139">
        <v>0</v>
      </c>
      <c r="D18" s="35">
        <v>13</v>
      </c>
      <c r="E18" s="139">
        <v>0</v>
      </c>
      <c r="F18" s="140">
        <v>0</v>
      </c>
      <c r="G18" s="141" t="s">
        <v>358</v>
      </c>
      <c r="H18" s="142">
        <v>0</v>
      </c>
      <c r="O18" s="29">
        <v>0</v>
      </c>
      <c r="P18" s="141" t="s">
        <v>427</v>
      </c>
      <c r="R18" s="33"/>
      <c r="S18" s="48"/>
    </row>
    <row r="19" spans="1:19">
      <c r="A19" s="138" t="s">
        <v>365</v>
      </c>
      <c r="B19" s="138" t="s">
        <v>359</v>
      </c>
      <c r="C19" s="139">
        <v>0</v>
      </c>
      <c r="D19" s="35">
        <v>13</v>
      </c>
      <c r="E19" s="139">
        <v>0</v>
      </c>
      <c r="F19" s="140">
        <v>0</v>
      </c>
      <c r="G19" s="141" t="s">
        <v>360</v>
      </c>
      <c r="H19" s="142">
        <v>0</v>
      </c>
      <c r="O19" s="29">
        <v>0</v>
      </c>
      <c r="P19" s="141" t="s">
        <v>427</v>
      </c>
      <c r="R19" s="33"/>
      <c r="S19" s="48"/>
    </row>
    <row r="20" spans="1:19">
      <c r="A20" s="138" t="s">
        <v>366</v>
      </c>
      <c r="B20" s="138" t="s">
        <v>356</v>
      </c>
      <c r="C20" s="139">
        <v>1154.5781799953099</v>
      </c>
      <c r="D20" s="35">
        <v>13</v>
      </c>
      <c r="E20" s="139">
        <v>654.550608585237</v>
      </c>
      <c r="F20" s="140">
        <v>0</v>
      </c>
      <c r="G20" s="141" t="s">
        <v>55</v>
      </c>
      <c r="H20" s="142">
        <v>0</v>
      </c>
      <c r="O20" s="29">
        <v>0</v>
      </c>
      <c r="P20" s="141" t="s">
        <v>427</v>
      </c>
      <c r="R20" s="33"/>
      <c r="S20" s="48"/>
    </row>
    <row r="21" spans="1:19">
      <c r="A21" s="138" t="s">
        <v>366</v>
      </c>
      <c r="B21" s="138" t="s">
        <v>357</v>
      </c>
      <c r="C21" s="139">
        <v>0</v>
      </c>
      <c r="D21" s="35">
        <v>13</v>
      </c>
      <c r="E21" s="139">
        <v>0</v>
      </c>
      <c r="F21" s="140">
        <v>0</v>
      </c>
      <c r="G21" s="141" t="s">
        <v>362</v>
      </c>
      <c r="H21" s="142">
        <v>0</v>
      </c>
      <c r="O21" s="29">
        <v>0</v>
      </c>
      <c r="P21" s="141" t="s">
        <v>427</v>
      </c>
      <c r="R21" s="33"/>
      <c r="S21" s="48"/>
    </row>
    <row r="22" spans="1:19">
      <c r="A22" s="138" t="s">
        <v>366</v>
      </c>
      <c r="B22" s="138" t="s">
        <v>359</v>
      </c>
      <c r="C22" s="139">
        <v>0</v>
      </c>
      <c r="D22" s="35">
        <v>13</v>
      </c>
      <c r="E22" s="139">
        <v>0</v>
      </c>
      <c r="F22" s="140">
        <v>0</v>
      </c>
      <c r="G22" s="141" t="s">
        <v>360</v>
      </c>
      <c r="H22" s="142">
        <v>0</v>
      </c>
      <c r="O22" s="29">
        <v>0</v>
      </c>
      <c r="P22" s="141" t="s">
        <v>427</v>
      </c>
      <c r="R22" s="33"/>
      <c r="S22" s="48"/>
    </row>
    <row r="23" spans="1:19">
      <c r="A23" s="138" t="s">
        <v>367</v>
      </c>
      <c r="B23" s="138" t="s">
        <v>356</v>
      </c>
      <c r="C23" s="139">
        <v>1160.5119961063936</v>
      </c>
      <c r="D23" s="35">
        <v>13</v>
      </c>
      <c r="E23" s="139">
        <v>654.550608585237</v>
      </c>
      <c r="F23" s="140">
        <v>0</v>
      </c>
      <c r="G23" s="141" t="s">
        <v>55</v>
      </c>
      <c r="H23" s="142">
        <v>0</v>
      </c>
      <c r="O23" s="29">
        <v>0</v>
      </c>
      <c r="P23" s="141" t="s">
        <v>427</v>
      </c>
      <c r="R23" s="33"/>
      <c r="S23" s="48"/>
    </row>
    <row r="24" spans="1:19">
      <c r="A24" s="138" t="s">
        <v>367</v>
      </c>
      <c r="B24" s="138" t="s">
        <v>357</v>
      </c>
      <c r="C24" s="139">
        <v>0</v>
      </c>
      <c r="D24" s="35">
        <v>13</v>
      </c>
      <c r="E24" s="139">
        <v>0</v>
      </c>
      <c r="F24" s="140">
        <v>0</v>
      </c>
      <c r="G24" s="141" t="s">
        <v>364</v>
      </c>
      <c r="H24" s="142">
        <v>0</v>
      </c>
      <c r="O24" s="29">
        <v>0</v>
      </c>
      <c r="P24" s="141" t="s">
        <v>427</v>
      </c>
      <c r="R24" s="33"/>
      <c r="S24" s="48"/>
    </row>
    <row r="25" spans="1:19">
      <c r="A25" s="138" t="s">
        <v>367</v>
      </c>
      <c r="B25" s="138" t="s">
        <v>359</v>
      </c>
      <c r="C25" s="139">
        <v>0</v>
      </c>
      <c r="D25" s="35">
        <v>13</v>
      </c>
      <c r="E25" s="139">
        <v>0</v>
      </c>
      <c r="F25" s="140">
        <v>0</v>
      </c>
      <c r="G25" s="141" t="s">
        <v>360</v>
      </c>
      <c r="H25" s="142">
        <v>0</v>
      </c>
      <c r="O25" s="29">
        <v>0</v>
      </c>
      <c r="P25" s="141" t="s">
        <v>427</v>
      </c>
      <c r="R25" s="33"/>
      <c r="S25" s="48"/>
    </row>
    <row r="26" spans="1:19">
      <c r="A26" s="138" t="s">
        <v>370</v>
      </c>
      <c r="B26" s="138" t="s">
        <v>356</v>
      </c>
      <c r="C26" s="139">
        <v>1243.8604062944223</v>
      </c>
      <c r="D26" s="35">
        <v>13</v>
      </c>
      <c r="E26" s="139">
        <v>654.550608585237</v>
      </c>
      <c r="F26" s="140">
        <v>0</v>
      </c>
      <c r="G26" s="141" t="s">
        <v>55</v>
      </c>
      <c r="H26" s="142">
        <v>-5.0636600354656078</v>
      </c>
      <c r="O26" s="29">
        <v>0</v>
      </c>
      <c r="P26" s="141" t="s">
        <v>427</v>
      </c>
      <c r="R26" s="33"/>
      <c r="S26" s="48"/>
    </row>
    <row r="27" spans="1:19">
      <c r="A27" s="138" t="s">
        <v>370</v>
      </c>
      <c r="B27" s="138" t="s">
        <v>357</v>
      </c>
      <c r="C27" s="139">
        <v>-13.070000166581625</v>
      </c>
      <c r="D27" s="35">
        <v>13</v>
      </c>
      <c r="E27" s="139">
        <v>0</v>
      </c>
      <c r="F27" s="140">
        <v>0</v>
      </c>
      <c r="G27" s="141" t="s">
        <v>358</v>
      </c>
      <c r="H27" s="142">
        <v>-5.0636600354656078</v>
      </c>
      <c r="O27" s="29">
        <v>-19.724819855006501</v>
      </c>
      <c r="P27" s="141" t="s">
        <v>358</v>
      </c>
      <c r="R27" s="33"/>
      <c r="S27" s="48"/>
    </row>
    <row r="28" spans="1:19">
      <c r="A28" s="138" t="s">
        <v>370</v>
      </c>
      <c r="B28" s="138" t="s">
        <v>359</v>
      </c>
      <c r="C28" s="139">
        <v>0</v>
      </c>
      <c r="D28" s="35">
        <v>13</v>
      </c>
      <c r="E28" s="139">
        <v>0</v>
      </c>
      <c r="F28" s="140">
        <v>0</v>
      </c>
      <c r="G28" s="141" t="s">
        <v>360</v>
      </c>
      <c r="H28" s="142">
        <v>-5.0636600354656078</v>
      </c>
      <c r="O28" s="29">
        <v>0</v>
      </c>
      <c r="P28" s="141" t="s">
        <v>427</v>
      </c>
      <c r="R28" s="33"/>
      <c r="S28" s="48"/>
    </row>
    <row r="29" spans="1:19">
      <c r="A29" s="138" t="s">
        <v>371</v>
      </c>
      <c r="B29" s="138" t="s">
        <v>356</v>
      </c>
      <c r="C29" s="139">
        <v>1231.405372006785</v>
      </c>
      <c r="D29" s="35">
        <v>13</v>
      </c>
      <c r="E29" s="139">
        <v>654.550608585237</v>
      </c>
      <c r="F29" s="140">
        <v>0</v>
      </c>
      <c r="G29" s="141" t="s">
        <v>55</v>
      </c>
      <c r="H29" s="142">
        <v>-5.1132419896161725</v>
      </c>
      <c r="O29" s="29">
        <v>0</v>
      </c>
      <c r="P29" s="141" t="s">
        <v>427</v>
      </c>
      <c r="R29" s="33"/>
      <c r="S29" s="48"/>
    </row>
    <row r="30" spans="1:19">
      <c r="A30" s="138" t="s">
        <v>371</v>
      </c>
      <c r="B30" s="138" t="s">
        <v>357</v>
      </c>
      <c r="C30" s="139">
        <v>-14.549592352923362</v>
      </c>
      <c r="D30" s="35">
        <v>13</v>
      </c>
      <c r="E30" s="139">
        <v>0</v>
      </c>
      <c r="F30" s="140">
        <v>0</v>
      </c>
      <c r="G30" s="141" t="s">
        <v>358</v>
      </c>
      <c r="H30" s="142">
        <v>-5.1132419896161725</v>
      </c>
      <c r="O30" s="29">
        <v>-19.866369581760637</v>
      </c>
      <c r="P30" s="141" t="s">
        <v>358</v>
      </c>
      <c r="R30" s="33"/>
      <c r="S30" s="48"/>
    </row>
    <row r="31" spans="1:19">
      <c r="A31" s="138" t="s">
        <v>371</v>
      </c>
      <c r="B31" s="138" t="s">
        <v>359</v>
      </c>
      <c r="C31" s="139">
        <v>29.380580089516688</v>
      </c>
      <c r="D31" s="35">
        <v>13</v>
      </c>
      <c r="E31" s="139">
        <v>0</v>
      </c>
      <c r="F31" s="140">
        <v>0</v>
      </c>
      <c r="G31" s="141" t="s">
        <v>360</v>
      </c>
      <c r="H31" s="142">
        <v>-5.1132419896161725</v>
      </c>
      <c r="O31" s="29">
        <v>0</v>
      </c>
      <c r="P31" s="141" t="s">
        <v>427</v>
      </c>
      <c r="R31" s="33"/>
      <c r="S31" s="48"/>
    </row>
    <row r="32" spans="1:19">
      <c r="A32" s="138" t="s">
        <v>372</v>
      </c>
      <c r="B32" s="138" t="s">
        <v>356</v>
      </c>
      <c r="C32" s="139">
        <v>1243.8604062944223</v>
      </c>
      <c r="D32" s="35">
        <v>13</v>
      </c>
      <c r="E32" s="139">
        <v>654.550608585237</v>
      </c>
      <c r="F32" s="140">
        <v>0</v>
      </c>
      <c r="G32" s="141" t="s">
        <v>55</v>
      </c>
      <c r="H32" s="142">
        <v>-3.5688983656613202</v>
      </c>
      <c r="O32" s="29">
        <v>0</v>
      </c>
      <c r="P32" s="141" t="s">
        <v>427</v>
      </c>
      <c r="R32" s="33"/>
      <c r="S32" s="48"/>
    </row>
    <row r="33" spans="1:19">
      <c r="A33" s="138" t="s">
        <v>372</v>
      </c>
      <c r="B33" s="138" t="s">
        <v>357</v>
      </c>
      <c r="C33" s="139">
        <v>-351.50921222766476</v>
      </c>
      <c r="D33" s="35">
        <v>13</v>
      </c>
      <c r="E33" s="139">
        <v>0</v>
      </c>
      <c r="F33" s="140">
        <v>0</v>
      </c>
      <c r="G33" s="141" t="s">
        <v>358</v>
      </c>
      <c r="H33" s="142">
        <v>-3.5688983656613202</v>
      </c>
      <c r="O33" s="29">
        <v>-0.83690513245143927</v>
      </c>
      <c r="P33" s="141" t="s">
        <v>358</v>
      </c>
      <c r="R33" s="33"/>
      <c r="S33" s="48"/>
    </row>
    <row r="34" spans="1:19">
      <c r="A34" s="138" t="s">
        <v>372</v>
      </c>
      <c r="B34" s="138" t="s">
        <v>359</v>
      </c>
      <c r="C34" s="139">
        <v>0</v>
      </c>
      <c r="D34" s="35">
        <v>13</v>
      </c>
      <c r="E34" s="139">
        <v>0</v>
      </c>
      <c r="F34" s="140">
        <v>0</v>
      </c>
      <c r="G34" s="141" t="s">
        <v>360</v>
      </c>
      <c r="H34" s="142">
        <v>-3.5688983656613202</v>
      </c>
      <c r="O34" s="29">
        <v>0</v>
      </c>
      <c r="P34" s="141" t="s">
        <v>427</v>
      </c>
      <c r="R34" s="33"/>
      <c r="S34" s="48"/>
    </row>
    <row r="35" spans="1:19">
      <c r="A35" s="138" t="s">
        <v>373</v>
      </c>
      <c r="B35" s="138" t="s">
        <v>356</v>
      </c>
      <c r="C35" s="139">
        <v>1231.4161895834602</v>
      </c>
      <c r="D35" s="35">
        <v>13</v>
      </c>
      <c r="E35" s="139">
        <v>654.550608585237</v>
      </c>
      <c r="F35" s="140">
        <v>0</v>
      </c>
      <c r="G35" s="141" t="s">
        <v>55</v>
      </c>
      <c r="H35" s="142">
        <v>-1.7496133081543634</v>
      </c>
      <c r="O35" s="29">
        <v>0</v>
      </c>
      <c r="P35" s="141" t="s">
        <v>427</v>
      </c>
      <c r="R35" s="33"/>
      <c r="S35" s="48"/>
    </row>
    <row r="36" spans="1:19">
      <c r="A36" s="138" t="s">
        <v>373</v>
      </c>
      <c r="B36" s="138" t="s">
        <v>357</v>
      </c>
      <c r="C36" s="139">
        <v>-172.32353870587679</v>
      </c>
      <c r="D36" s="35">
        <v>13</v>
      </c>
      <c r="E36" s="139">
        <v>0</v>
      </c>
      <c r="F36" s="140">
        <v>0</v>
      </c>
      <c r="G36" s="141" t="s">
        <v>368</v>
      </c>
      <c r="H36" s="142">
        <v>-1.7496133081543634</v>
      </c>
      <c r="O36" s="29">
        <v>-0.41028356859033155</v>
      </c>
      <c r="P36" s="141" t="s">
        <v>368</v>
      </c>
      <c r="R36" s="33"/>
      <c r="S36" s="48"/>
    </row>
    <row r="37" spans="1:19">
      <c r="A37" s="138" t="s">
        <v>373</v>
      </c>
      <c r="B37" s="138" t="s">
        <v>359</v>
      </c>
      <c r="C37" s="139">
        <v>29.552677516223916</v>
      </c>
      <c r="D37" s="35">
        <v>13</v>
      </c>
      <c r="E37" s="139">
        <v>0</v>
      </c>
      <c r="F37" s="140">
        <v>0</v>
      </c>
      <c r="G37" s="141" t="s">
        <v>360</v>
      </c>
      <c r="H37" s="142">
        <v>-1.7496133081543634</v>
      </c>
      <c r="O37" s="29">
        <v>0</v>
      </c>
      <c r="P37" s="141" t="s">
        <v>427</v>
      </c>
      <c r="R37" s="33"/>
      <c r="S37" s="48"/>
    </row>
    <row r="38" spans="1:19">
      <c r="A38" s="138" t="s">
        <v>374</v>
      </c>
      <c r="B38" s="138" t="s">
        <v>356</v>
      </c>
      <c r="C38" s="139">
        <v>1243.8863623993275</v>
      </c>
      <c r="D38" s="35">
        <v>13</v>
      </c>
      <c r="E38" s="139">
        <v>654.550608585237</v>
      </c>
      <c r="F38" s="140">
        <v>0</v>
      </c>
      <c r="G38" s="141" t="s">
        <v>55</v>
      </c>
      <c r="H38" s="142">
        <v>-3.1860342580112393</v>
      </c>
      <c r="O38" s="29">
        <v>0</v>
      </c>
      <c r="P38" s="141" t="s">
        <v>427</v>
      </c>
      <c r="R38" s="33"/>
      <c r="S38" s="48"/>
    </row>
    <row r="39" spans="1:19">
      <c r="A39" s="138" t="s">
        <v>374</v>
      </c>
      <c r="B39" s="138" t="s">
        <v>357</v>
      </c>
      <c r="C39" s="139">
        <v>-313.80002382229816</v>
      </c>
      <c r="D39" s="35">
        <v>13</v>
      </c>
      <c r="E39" s="139">
        <v>0</v>
      </c>
      <c r="F39" s="140">
        <v>0</v>
      </c>
      <c r="G39" s="141" t="s">
        <v>369</v>
      </c>
      <c r="H39" s="142">
        <v>-3.1860342580112393</v>
      </c>
      <c r="O39" s="29">
        <v>-0.74712366380364303</v>
      </c>
      <c r="P39" s="141" t="s">
        <v>369</v>
      </c>
      <c r="R39" s="33"/>
      <c r="S39" s="48"/>
    </row>
    <row r="40" spans="1:19" s="143" customFormat="1">
      <c r="A40" s="138" t="s">
        <v>374</v>
      </c>
      <c r="B40" s="138" t="s">
        <v>359</v>
      </c>
      <c r="C40" s="139">
        <v>0</v>
      </c>
      <c r="D40" s="35">
        <v>13</v>
      </c>
      <c r="E40" s="139">
        <v>0</v>
      </c>
      <c r="F40" s="140">
        <v>0</v>
      </c>
      <c r="G40" s="141" t="s">
        <v>360</v>
      </c>
      <c r="H40" s="142">
        <v>-3.1860342580112393</v>
      </c>
      <c r="I40" s="7"/>
      <c r="J40" s="7"/>
      <c r="K40" s="7"/>
      <c r="L40" s="7"/>
      <c r="M40" s="7"/>
      <c r="N40" s="7"/>
      <c r="O40" s="29">
        <v>0</v>
      </c>
      <c r="P40" s="141" t="s">
        <v>427</v>
      </c>
      <c r="R40" s="144"/>
      <c r="S40" s="145"/>
    </row>
    <row r="41" spans="1:19">
      <c r="A41" s="138" t="s">
        <v>377</v>
      </c>
      <c r="B41" s="138" t="s">
        <v>356</v>
      </c>
      <c r="C41" s="139">
        <v>1310.2363695143879</v>
      </c>
      <c r="D41" s="35">
        <v>13</v>
      </c>
      <c r="E41" s="139">
        <v>654.550608585237</v>
      </c>
      <c r="F41" s="140">
        <v>0</v>
      </c>
      <c r="G41" s="141" t="s">
        <v>55</v>
      </c>
      <c r="H41" s="142">
        <v>-4.6365753722866305</v>
      </c>
      <c r="O41" s="29">
        <v>0</v>
      </c>
      <c r="P41" s="141" t="s">
        <v>427</v>
      </c>
      <c r="R41" s="33"/>
      <c r="S41" s="48"/>
    </row>
    <row r="42" spans="1:19">
      <c r="A42" s="138" t="s">
        <v>377</v>
      </c>
      <c r="B42" s="138" t="s">
        <v>357</v>
      </c>
      <c r="C42" s="139">
        <v>-12.827895357275422</v>
      </c>
      <c r="D42" s="35">
        <v>13</v>
      </c>
      <c r="E42" s="139">
        <v>0</v>
      </c>
      <c r="F42" s="140">
        <v>0</v>
      </c>
      <c r="G42" s="141" t="s">
        <v>362</v>
      </c>
      <c r="H42" s="142">
        <v>-4.6365753722866305</v>
      </c>
      <c r="O42" s="29">
        <v>-17.66209936662602</v>
      </c>
      <c r="P42" s="141" t="s">
        <v>362</v>
      </c>
      <c r="R42" s="33"/>
      <c r="S42" s="48"/>
    </row>
    <row r="43" spans="1:19">
      <c r="A43" s="138" t="s">
        <v>377</v>
      </c>
      <c r="B43" s="138" t="s">
        <v>359</v>
      </c>
      <c r="C43" s="139">
        <v>0</v>
      </c>
      <c r="D43" s="35">
        <v>13</v>
      </c>
      <c r="E43" s="139">
        <v>0</v>
      </c>
      <c r="F43" s="140">
        <v>0</v>
      </c>
      <c r="G43" s="141" t="s">
        <v>360</v>
      </c>
      <c r="H43" s="142">
        <v>-4.6365753722866305</v>
      </c>
      <c r="O43" s="29">
        <v>0</v>
      </c>
      <c r="P43" s="141" t="s">
        <v>427</v>
      </c>
      <c r="R43" s="33"/>
      <c r="S43" s="48"/>
    </row>
    <row r="44" spans="1:19">
      <c r="A44" s="138" t="s">
        <v>378</v>
      </c>
      <c r="B44" s="138" t="s">
        <v>356</v>
      </c>
      <c r="C44" s="139">
        <v>1290.711854118596</v>
      </c>
      <c r="D44" s="35">
        <v>13</v>
      </c>
      <c r="E44" s="139">
        <v>654.550608585237</v>
      </c>
      <c r="F44" s="140">
        <v>0</v>
      </c>
      <c r="G44" s="141" t="s">
        <v>55</v>
      </c>
      <c r="H44" s="142">
        <v>-4.6882128078901584</v>
      </c>
      <c r="O44" s="29">
        <v>0</v>
      </c>
      <c r="P44" s="141" t="s">
        <v>427</v>
      </c>
      <c r="R44" s="33"/>
      <c r="S44" s="48"/>
    </row>
    <row r="45" spans="1:19">
      <c r="A45" s="138" t="s">
        <v>378</v>
      </c>
      <c r="B45" s="138" t="s">
        <v>357</v>
      </c>
      <c r="C45" s="139">
        <v>-13.571148677924437</v>
      </c>
      <c r="D45" s="35">
        <v>13</v>
      </c>
      <c r="E45" s="139">
        <v>0</v>
      </c>
      <c r="F45" s="140">
        <v>0</v>
      </c>
      <c r="G45" s="141" t="s">
        <v>362</v>
      </c>
      <c r="H45" s="142">
        <v>-4.6882128078901584</v>
      </c>
      <c r="O45" s="29">
        <v>-17.835808755255901</v>
      </c>
      <c r="P45" s="141" t="s">
        <v>362</v>
      </c>
      <c r="R45" s="33"/>
      <c r="S45" s="48"/>
    </row>
    <row r="46" spans="1:19">
      <c r="A46" s="138" t="s">
        <v>378</v>
      </c>
      <c r="B46" s="138" t="s">
        <v>359</v>
      </c>
      <c r="C46" s="139">
        <v>33.129570748535471</v>
      </c>
      <c r="D46" s="35">
        <v>13</v>
      </c>
      <c r="E46" s="139">
        <v>0</v>
      </c>
      <c r="F46" s="140">
        <v>0</v>
      </c>
      <c r="G46" s="141" t="s">
        <v>360</v>
      </c>
      <c r="H46" s="142">
        <v>-4.6882128078901584</v>
      </c>
      <c r="O46" s="29">
        <v>0</v>
      </c>
      <c r="P46" s="141" t="s">
        <v>427</v>
      </c>
      <c r="R46" s="33"/>
      <c r="S46" s="48"/>
    </row>
    <row r="47" spans="1:19">
      <c r="A47" s="138" t="s">
        <v>379</v>
      </c>
      <c r="B47" s="138" t="s">
        <v>356</v>
      </c>
      <c r="C47" s="139">
        <v>1310.2363695143879</v>
      </c>
      <c r="D47" s="35">
        <v>13</v>
      </c>
      <c r="E47" s="139">
        <v>654.550608585237</v>
      </c>
      <c r="F47" s="140">
        <v>0</v>
      </c>
      <c r="G47" s="141" t="s">
        <v>55</v>
      </c>
      <c r="H47" s="142">
        <v>-3.2720615140776217</v>
      </c>
      <c r="O47" s="29">
        <v>0</v>
      </c>
      <c r="P47" s="141" t="s">
        <v>427</v>
      </c>
      <c r="R47" s="33"/>
      <c r="S47" s="48"/>
    </row>
    <row r="48" spans="1:19">
      <c r="A48" s="138" t="s">
        <v>379</v>
      </c>
      <c r="B48" s="138" t="s">
        <v>357</v>
      </c>
      <c r="C48" s="139">
        <v>-328.0895056105461</v>
      </c>
      <c r="D48" s="35">
        <v>13</v>
      </c>
      <c r="E48" s="139">
        <v>0</v>
      </c>
      <c r="F48" s="140">
        <v>0</v>
      </c>
      <c r="G48" s="141" t="s">
        <v>362</v>
      </c>
      <c r="H48" s="142">
        <v>-3.2720615140776217</v>
      </c>
      <c r="O48" s="29">
        <v>-0.24615837127711976</v>
      </c>
      <c r="P48" s="141" t="s">
        <v>362</v>
      </c>
      <c r="R48" s="33"/>
      <c r="S48" s="48"/>
    </row>
    <row r="49" spans="1:19">
      <c r="A49" s="138" t="s">
        <v>379</v>
      </c>
      <c r="B49" s="138" t="s">
        <v>359</v>
      </c>
      <c r="C49" s="139">
        <v>0</v>
      </c>
      <c r="D49" s="35">
        <v>13</v>
      </c>
      <c r="E49" s="139">
        <v>0</v>
      </c>
      <c r="F49" s="140">
        <v>0</v>
      </c>
      <c r="G49" s="141" t="s">
        <v>360</v>
      </c>
      <c r="H49" s="142">
        <v>-3.2720615140776217</v>
      </c>
      <c r="O49" s="29">
        <v>0</v>
      </c>
      <c r="P49" s="141" t="s">
        <v>427</v>
      </c>
      <c r="R49" s="33"/>
      <c r="S49" s="48"/>
    </row>
    <row r="50" spans="1:19">
      <c r="A50" s="138" t="s">
        <v>380</v>
      </c>
      <c r="B50" s="138" t="s">
        <v>356</v>
      </c>
      <c r="C50" s="139">
        <v>1290.7265967492426</v>
      </c>
      <c r="D50" s="35">
        <v>13</v>
      </c>
      <c r="E50" s="139">
        <v>654.550608585237</v>
      </c>
      <c r="F50" s="140">
        <v>0</v>
      </c>
      <c r="G50" s="141" t="s">
        <v>55</v>
      </c>
      <c r="H50" s="142">
        <v>-2.0996322588157486</v>
      </c>
      <c r="O50" s="29">
        <v>0</v>
      </c>
      <c r="P50" s="141" t="s">
        <v>427</v>
      </c>
      <c r="R50" s="33"/>
      <c r="S50" s="48"/>
    </row>
    <row r="51" spans="1:19">
      <c r="A51" s="138" t="s">
        <v>380</v>
      </c>
      <c r="B51" s="138" t="s">
        <v>357</v>
      </c>
      <c r="C51" s="139">
        <v>-210.53006087906681</v>
      </c>
      <c r="D51" s="35">
        <v>13</v>
      </c>
      <c r="E51" s="139">
        <v>0</v>
      </c>
      <c r="F51" s="140">
        <v>0</v>
      </c>
      <c r="G51" s="141" t="s">
        <v>375</v>
      </c>
      <c r="H51" s="142">
        <v>-2.0996322588157486</v>
      </c>
      <c r="O51" s="29">
        <v>-0.15795609431159488</v>
      </c>
      <c r="P51" s="141" t="s">
        <v>375</v>
      </c>
      <c r="R51" s="33"/>
      <c r="S51" s="48"/>
    </row>
    <row r="52" spans="1:19">
      <c r="A52" s="138" t="s">
        <v>380</v>
      </c>
      <c r="B52" s="138" t="s">
        <v>359</v>
      </c>
      <c r="C52" s="139">
        <v>33.319817172968932</v>
      </c>
      <c r="D52" s="35">
        <v>13</v>
      </c>
      <c r="E52" s="139">
        <v>0</v>
      </c>
      <c r="F52" s="140">
        <v>0</v>
      </c>
      <c r="G52" s="141" t="s">
        <v>360</v>
      </c>
      <c r="H52" s="142">
        <v>-2.0996322588157486</v>
      </c>
      <c r="O52" s="29">
        <v>0</v>
      </c>
      <c r="P52" s="141" t="s">
        <v>427</v>
      </c>
      <c r="R52" s="33"/>
      <c r="S52" s="48"/>
    </row>
    <row r="53" spans="1:19">
      <c r="A53" s="138" t="s">
        <v>381</v>
      </c>
      <c r="B53" s="138" t="s">
        <v>356</v>
      </c>
      <c r="C53" s="139">
        <v>1309.9202011242153</v>
      </c>
      <c r="D53" s="35">
        <v>13</v>
      </c>
      <c r="E53" s="139">
        <v>654.550608585237</v>
      </c>
      <c r="F53" s="140">
        <v>0</v>
      </c>
      <c r="G53" s="141" t="s">
        <v>55</v>
      </c>
      <c r="H53" s="142">
        <v>-2.9077739556591125</v>
      </c>
      <c r="O53" s="29">
        <v>0</v>
      </c>
      <c r="P53" s="141" t="s">
        <v>427</v>
      </c>
      <c r="R53" s="33"/>
      <c r="S53" s="48"/>
    </row>
    <row r="54" spans="1:19">
      <c r="A54" s="138" t="s">
        <v>381</v>
      </c>
      <c r="B54" s="138" t="s">
        <v>357</v>
      </c>
      <c r="C54" s="139">
        <v>-291.56240352906423</v>
      </c>
      <c r="D54" s="35">
        <v>13</v>
      </c>
      <c r="E54" s="139">
        <v>0</v>
      </c>
      <c r="F54" s="140">
        <v>0</v>
      </c>
      <c r="G54" s="141" t="s">
        <v>376</v>
      </c>
      <c r="H54" s="142">
        <v>-2.9077739556591125</v>
      </c>
      <c r="O54" s="29">
        <v>-0.21875288648686911</v>
      </c>
      <c r="P54" s="141" t="s">
        <v>376</v>
      </c>
      <c r="R54" s="33"/>
      <c r="S54" s="48"/>
    </row>
    <row r="55" spans="1:19" s="143" customFormat="1">
      <c r="A55" s="138" t="s">
        <v>381</v>
      </c>
      <c r="B55" s="138" t="s">
        <v>359</v>
      </c>
      <c r="C55" s="139">
        <v>0</v>
      </c>
      <c r="D55" s="35">
        <v>13</v>
      </c>
      <c r="E55" s="139">
        <v>0</v>
      </c>
      <c r="F55" s="140">
        <v>0</v>
      </c>
      <c r="G55" s="141" t="s">
        <v>360</v>
      </c>
      <c r="H55" s="142">
        <v>-2.9077739556591125</v>
      </c>
      <c r="I55" s="7"/>
      <c r="J55" s="7"/>
      <c r="K55" s="7"/>
      <c r="L55" s="7"/>
      <c r="M55" s="7"/>
      <c r="N55" s="7"/>
      <c r="O55" s="29">
        <v>0</v>
      </c>
      <c r="P55" s="141" t="s">
        <v>427</v>
      </c>
      <c r="R55" s="144"/>
      <c r="S55" s="145"/>
    </row>
    <row r="56" spans="1:19">
      <c r="A56" s="138" t="s">
        <v>384</v>
      </c>
      <c r="B56" s="138" t="s">
        <v>356</v>
      </c>
      <c r="C56" s="139">
        <v>1340.44858307818</v>
      </c>
      <c r="D56" s="35">
        <v>13</v>
      </c>
      <c r="E56" s="139">
        <v>654.550608585237</v>
      </c>
      <c r="F56" s="140">
        <v>0</v>
      </c>
      <c r="G56" s="141" t="s">
        <v>55</v>
      </c>
      <c r="H56" s="142">
        <v>-4.258992974136226</v>
      </c>
      <c r="O56" s="29">
        <v>0</v>
      </c>
      <c r="P56" s="141" t="s">
        <v>427</v>
      </c>
      <c r="R56" s="33"/>
      <c r="S56" s="48"/>
    </row>
    <row r="57" spans="1:19">
      <c r="A57" s="138" t="s">
        <v>384</v>
      </c>
      <c r="B57" s="138" t="s">
        <v>357</v>
      </c>
      <c r="C57" s="139">
        <v>-11.970880184044759</v>
      </c>
      <c r="D57" s="35">
        <v>13</v>
      </c>
      <c r="E57" s="139">
        <v>0</v>
      </c>
      <c r="F57" s="140">
        <v>0</v>
      </c>
      <c r="G57" s="141" t="s">
        <v>364</v>
      </c>
      <c r="H57" s="142">
        <v>-4.258992974136226</v>
      </c>
      <c r="O57" s="29">
        <v>-16.21658959322032</v>
      </c>
      <c r="P57" s="141" t="s">
        <v>364</v>
      </c>
      <c r="R57" s="33"/>
      <c r="S57" s="48"/>
    </row>
    <row r="58" spans="1:19">
      <c r="A58" s="138" t="s">
        <v>384</v>
      </c>
      <c r="B58" s="138" t="s">
        <v>359</v>
      </c>
      <c r="C58" s="139">
        <v>0</v>
      </c>
      <c r="D58" s="35">
        <v>13</v>
      </c>
      <c r="E58" s="139">
        <v>0</v>
      </c>
      <c r="F58" s="140">
        <v>0</v>
      </c>
      <c r="G58" s="141" t="s">
        <v>360</v>
      </c>
      <c r="H58" s="142">
        <v>-4.258992974136226</v>
      </c>
      <c r="O58" s="29">
        <v>0</v>
      </c>
      <c r="P58" s="141" t="s">
        <v>427</v>
      </c>
      <c r="R58" s="33"/>
      <c r="S58" s="48"/>
    </row>
    <row r="59" spans="1:19">
      <c r="A59" s="138" t="s">
        <v>385</v>
      </c>
      <c r="B59" s="138" t="s">
        <v>356</v>
      </c>
      <c r="C59" s="139">
        <v>1326.6188989663367</v>
      </c>
      <c r="D59" s="35">
        <v>13</v>
      </c>
      <c r="E59" s="139">
        <v>654.550608585237</v>
      </c>
      <c r="F59" s="140">
        <v>0</v>
      </c>
      <c r="G59" s="141" t="s">
        <v>55</v>
      </c>
      <c r="H59" s="142">
        <v>-4.3286342520108745</v>
      </c>
      <c r="O59" s="29">
        <v>0</v>
      </c>
      <c r="P59" s="141" t="s">
        <v>427</v>
      </c>
      <c r="R59" s="33"/>
      <c r="S59" s="48"/>
    </row>
    <row r="60" spans="1:19">
      <c r="A60" s="138" t="s">
        <v>385</v>
      </c>
      <c r="B60" s="138" t="s">
        <v>357</v>
      </c>
      <c r="C60" s="139">
        <v>-12.493420972743845</v>
      </c>
      <c r="D60" s="35">
        <v>13</v>
      </c>
      <c r="E60" s="139">
        <v>0</v>
      </c>
      <c r="F60" s="140">
        <v>0</v>
      </c>
      <c r="G60" s="141" t="s">
        <v>364</v>
      </c>
      <c r="H60" s="142">
        <v>-4.3286342520108745</v>
      </c>
      <c r="O60" s="29">
        <v>-16.469241178086019</v>
      </c>
      <c r="P60" s="141" t="s">
        <v>364</v>
      </c>
      <c r="R60" s="33"/>
      <c r="S60" s="48"/>
    </row>
    <row r="61" spans="1:19">
      <c r="A61" s="138" t="s">
        <v>385</v>
      </c>
      <c r="B61" s="138" t="s">
        <v>359</v>
      </c>
      <c r="C61" s="139">
        <v>35.292250597433956</v>
      </c>
      <c r="D61" s="35">
        <v>13</v>
      </c>
      <c r="E61" s="139">
        <v>0</v>
      </c>
      <c r="F61" s="140">
        <v>0</v>
      </c>
      <c r="G61" s="141" t="s">
        <v>360</v>
      </c>
      <c r="H61" s="142">
        <v>-4.3286342520108745</v>
      </c>
      <c r="O61" s="29">
        <v>0</v>
      </c>
      <c r="P61" s="141" t="s">
        <v>427</v>
      </c>
      <c r="R61" s="33"/>
      <c r="S61" s="48"/>
    </row>
    <row r="62" spans="1:19">
      <c r="A62" s="138" t="s">
        <v>386</v>
      </c>
      <c r="B62" s="138" t="s">
        <v>356</v>
      </c>
      <c r="C62" s="139">
        <v>1340.44858307818</v>
      </c>
      <c r="D62" s="35">
        <v>13</v>
      </c>
      <c r="E62" s="139">
        <v>654.550608585237</v>
      </c>
      <c r="F62" s="140">
        <v>0</v>
      </c>
      <c r="G62" s="141" t="s">
        <v>55</v>
      </c>
      <c r="H62" s="142">
        <v>-3.0001420000773384</v>
      </c>
      <c r="O62" s="29">
        <v>0</v>
      </c>
      <c r="P62" s="141" t="s">
        <v>427</v>
      </c>
      <c r="R62" s="33"/>
      <c r="S62" s="48"/>
    </row>
    <row r="63" spans="1:19">
      <c r="A63" s="138" t="s">
        <v>386</v>
      </c>
      <c r="B63" s="138" t="s">
        <v>357</v>
      </c>
      <c r="C63" s="139">
        <v>-300.82414445202835</v>
      </c>
      <c r="D63" s="35">
        <v>13</v>
      </c>
      <c r="E63" s="139">
        <v>0</v>
      </c>
      <c r="F63" s="140">
        <v>0</v>
      </c>
      <c r="G63" s="141" t="s">
        <v>364</v>
      </c>
      <c r="H63" s="142">
        <v>-3.0001420000773384</v>
      </c>
      <c r="O63" s="29">
        <v>-0.22570176787990515</v>
      </c>
      <c r="P63" s="141" t="s">
        <v>364</v>
      </c>
      <c r="R63" s="33"/>
      <c r="S63" s="48"/>
    </row>
    <row r="64" spans="1:19">
      <c r="A64" s="138" t="s">
        <v>386</v>
      </c>
      <c r="B64" s="138" t="s">
        <v>359</v>
      </c>
      <c r="C64" s="139">
        <v>0</v>
      </c>
      <c r="D64" s="35">
        <v>13</v>
      </c>
      <c r="E64" s="139">
        <v>0</v>
      </c>
      <c r="F64" s="140">
        <v>0</v>
      </c>
      <c r="G64" s="141" t="s">
        <v>360</v>
      </c>
      <c r="H64" s="142">
        <v>-3.0001420000773384</v>
      </c>
      <c r="O64" s="29">
        <v>0</v>
      </c>
      <c r="P64" s="141" t="s">
        <v>427</v>
      </c>
      <c r="R64" s="33"/>
      <c r="S64" s="48"/>
    </row>
    <row r="65" spans="1:19">
      <c r="A65" s="138" t="s">
        <v>387</v>
      </c>
      <c r="B65" s="138" t="s">
        <v>356</v>
      </c>
      <c r="C65" s="139">
        <v>1326.5331893124023</v>
      </c>
      <c r="D65" s="35">
        <v>13</v>
      </c>
      <c r="E65" s="139">
        <v>654.550608585237</v>
      </c>
      <c r="F65" s="140">
        <v>0</v>
      </c>
      <c r="G65" s="141" t="s">
        <v>55</v>
      </c>
      <c r="H65" s="142">
        <v>-2.1813791972269616</v>
      </c>
      <c r="O65" s="29">
        <v>0</v>
      </c>
      <c r="P65" s="141" t="s">
        <v>427</v>
      </c>
      <c r="R65" s="33"/>
      <c r="S65" s="48"/>
    </row>
    <row r="66" spans="1:19">
      <c r="A66" s="138" t="s">
        <v>387</v>
      </c>
      <c r="B66" s="138" t="s">
        <v>357</v>
      </c>
      <c r="C66" s="139">
        <v>-218.72682383511753</v>
      </c>
      <c r="D66" s="35">
        <v>13</v>
      </c>
      <c r="E66" s="139">
        <v>0</v>
      </c>
      <c r="F66" s="140">
        <v>0</v>
      </c>
      <c r="G66" s="141" t="s">
        <v>382</v>
      </c>
      <c r="H66" s="142">
        <v>-2.1813791972269616</v>
      </c>
      <c r="O66" s="29">
        <v>-0.16410594605784717</v>
      </c>
      <c r="P66" s="141" t="s">
        <v>382</v>
      </c>
      <c r="R66" s="33"/>
      <c r="S66" s="48"/>
    </row>
    <row r="67" spans="1:19">
      <c r="A67" s="138" t="s">
        <v>387</v>
      </c>
      <c r="B67" s="138" t="s">
        <v>359</v>
      </c>
      <c r="C67" s="139">
        <v>35.493788701617497</v>
      </c>
      <c r="D67" s="35">
        <v>13</v>
      </c>
      <c r="E67" s="139">
        <v>0</v>
      </c>
      <c r="F67" s="140">
        <v>0</v>
      </c>
      <c r="G67" s="141" t="s">
        <v>360</v>
      </c>
      <c r="H67" s="142">
        <v>-2.1813791972269616</v>
      </c>
      <c r="O67" s="29">
        <v>0</v>
      </c>
      <c r="P67" s="141" t="s">
        <v>427</v>
      </c>
      <c r="R67" s="33"/>
      <c r="S67" s="48"/>
    </row>
    <row r="68" spans="1:19">
      <c r="A68" s="138" t="s">
        <v>388</v>
      </c>
      <c r="B68" s="138" t="s">
        <v>356</v>
      </c>
      <c r="C68" s="139">
        <v>1340.4399211661482</v>
      </c>
      <c r="D68" s="35">
        <v>13</v>
      </c>
      <c r="E68" s="139">
        <v>654.550608585237</v>
      </c>
      <c r="F68" s="140">
        <v>0</v>
      </c>
      <c r="G68" s="141" t="s">
        <v>55</v>
      </c>
      <c r="H68" s="142">
        <v>-2.6596515633039379</v>
      </c>
      <c r="O68" s="29">
        <v>0</v>
      </c>
      <c r="P68" s="141" t="s">
        <v>427</v>
      </c>
      <c r="R68" s="33"/>
      <c r="S68" s="48"/>
    </row>
    <row r="69" spans="1:19">
      <c r="A69" s="138" t="s">
        <v>388</v>
      </c>
      <c r="B69" s="138" t="s">
        <v>357</v>
      </c>
      <c r="C69" s="139">
        <v>-266.68317901312065</v>
      </c>
      <c r="D69" s="35">
        <v>13</v>
      </c>
      <c r="E69" s="139">
        <v>0</v>
      </c>
      <c r="F69" s="140">
        <v>0</v>
      </c>
      <c r="G69" s="141" t="s">
        <v>383</v>
      </c>
      <c r="H69" s="142">
        <v>-2.6596515633039379</v>
      </c>
      <c r="O69" s="29">
        <v>-0.2000865491589324</v>
      </c>
      <c r="P69" s="141" t="s">
        <v>383</v>
      </c>
      <c r="R69" s="33"/>
      <c r="S69" s="48"/>
    </row>
    <row r="70" spans="1:19" s="143" customFormat="1">
      <c r="A70" s="138" t="s">
        <v>388</v>
      </c>
      <c r="B70" s="138" t="s">
        <v>359</v>
      </c>
      <c r="C70" s="139">
        <v>0</v>
      </c>
      <c r="D70" s="35">
        <v>13</v>
      </c>
      <c r="E70" s="139">
        <v>0</v>
      </c>
      <c r="F70" s="140">
        <v>0</v>
      </c>
      <c r="G70" s="141" t="s">
        <v>360</v>
      </c>
      <c r="H70" s="142">
        <v>-2.6596515633039379</v>
      </c>
      <c r="I70" s="7"/>
      <c r="J70" s="7"/>
      <c r="K70" s="7"/>
      <c r="L70" s="7"/>
      <c r="M70" s="7"/>
      <c r="N70" s="7"/>
      <c r="O70" s="29">
        <v>0</v>
      </c>
      <c r="P70" s="141" t="s">
        <v>427</v>
      </c>
      <c r="R70" s="144"/>
      <c r="S70" s="145"/>
    </row>
    <row r="71" spans="1:19">
      <c r="A71" s="138" t="s">
        <v>389</v>
      </c>
      <c r="B71" s="138" t="s">
        <v>356</v>
      </c>
      <c r="C71" s="139">
        <v>1219.6611141810399</v>
      </c>
      <c r="D71" s="35">
        <v>13</v>
      </c>
      <c r="E71" s="139">
        <v>1723.656785814981</v>
      </c>
      <c r="F71" s="140">
        <v>0</v>
      </c>
      <c r="G71" s="141" t="s">
        <v>55</v>
      </c>
      <c r="H71" s="142">
        <v>0</v>
      </c>
      <c r="O71" s="29">
        <v>0</v>
      </c>
      <c r="P71" s="141" t="s">
        <v>427</v>
      </c>
      <c r="R71" s="33"/>
      <c r="S71" s="48"/>
    </row>
    <row r="72" spans="1:19">
      <c r="A72" s="138" t="s">
        <v>389</v>
      </c>
      <c r="B72" s="138" t="s">
        <v>357</v>
      </c>
      <c r="C72" s="139">
        <v>0</v>
      </c>
      <c r="D72" s="35">
        <v>13</v>
      </c>
      <c r="E72" s="139">
        <v>0</v>
      </c>
      <c r="F72" s="140">
        <v>0</v>
      </c>
      <c r="G72" s="141" t="s">
        <v>358</v>
      </c>
      <c r="H72" s="142">
        <v>0</v>
      </c>
      <c r="O72" s="29">
        <v>0</v>
      </c>
      <c r="P72" s="141" t="s">
        <v>427</v>
      </c>
      <c r="R72" s="33"/>
      <c r="S72" s="48"/>
    </row>
    <row r="73" spans="1:19">
      <c r="A73" s="138" t="s">
        <v>389</v>
      </c>
      <c r="B73" s="138" t="s">
        <v>359</v>
      </c>
      <c r="C73" s="139">
        <v>0</v>
      </c>
      <c r="D73" s="35">
        <v>13</v>
      </c>
      <c r="E73" s="139">
        <v>0</v>
      </c>
      <c r="F73" s="140">
        <v>0</v>
      </c>
      <c r="G73" s="141" t="s">
        <v>360</v>
      </c>
      <c r="H73" s="142">
        <v>0</v>
      </c>
      <c r="O73" s="29">
        <v>0</v>
      </c>
      <c r="P73" s="141" t="s">
        <v>427</v>
      </c>
      <c r="R73" s="33"/>
      <c r="S73" s="48"/>
    </row>
    <row r="74" spans="1:19">
      <c r="A74" s="138" t="s">
        <v>390</v>
      </c>
      <c r="B74" s="138" t="s">
        <v>356</v>
      </c>
      <c r="C74" s="139">
        <v>1252.2728975309985</v>
      </c>
      <c r="D74" s="35">
        <v>13</v>
      </c>
      <c r="E74" s="139">
        <v>1723.656785814981</v>
      </c>
      <c r="F74" s="140">
        <v>0</v>
      </c>
      <c r="G74" s="141" t="s">
        <v>55</v>
      </c>
      <c r="H74" s="142">
        <v>0</v>
      </c>
      <c r="O74" s="29">
        <v>0</v>
      </c>
      <c r="P74" s="141" t="s">
        <v>427</v>
      </c>
      <c r="R74" s="33"/>
      <c r="S74" s="48"/>
    </row>
    <row r="75" spans="1:19">
      <c r="A75" s="138" t="s">
        <v>390</v>
      </c>
      <c r="B75" s="138" t="s">
        <v>357</v>
      </c>
      <c r="C75" s="139">
        <v>0</v>
      </c>
      <c r="D75" s="35">
        <v>13</v>
      </c>
      <c r="E75" s="139">
        <v>0</v>
      </c>
      <c r="F75" s="140">
        <v>0</v>
      </c>
      <c r="G75" s="141" t="s">
        <v>362</v>
      </c>
      <c r="H75" s="142">
        <v>0</v>
      </c>
      <c r="O75" s="29">
        <v>0</v>
      </c>
      <c r="P75" s="141" t="s">
        <v>427</v>
      </c>
      <c r="R75" s="33"/>
      <c r="S75" s="48"/>
    </row>
    <row r="76" spans="1:19">
      <c r="A76" s="138" t="s">
        <v>390</v>
      </c>
      <c r="B76" s="138" t="s">
        <v>359</v>
      </c>
      <c r="C76" s="139">
        <v>0</v>
      </c>
      <c r="D76" s="35">
        <v>13</v>
      </c>
      <c r="E76" s="139">
        <v>0</v>
      </c>
      <c r="F76" s="140">
        <v>0</v>
      </c>
      <c r="G76" s="141" t="s">
        <v>360</v>
      </c>
      <c r="H76" s="142">
        <v>0</v>
      </c>
      <c r="O76" s="29">
        <v>0</v>
      </c>
      <c r="P76" s="141" t="s">
        <v>427</v>
      </c>
      <c r="R76" s="33"/>
      <c r="S76" s="48"/>
    </row>
    <row r="77" spans="1:19">
      <c r="A77" s="138" t="s">
        <v>391</v>
      </c>
      <c r="B77" s="138" t="s">
        <v>356</v>
      </c>
      <c r="C77" s="139">
        <v>1287.3873928988805</v>
      </c>
      <c r="D77" s="35">
        <v>13</v>
      </c>
      <c r="E77" s="139">
        <v>1723.656785814981</v>
      </c>
      <c r="F77" s="140">
        <v>0</v>
      </c>
      <c r="G77" s="141" t="s">
        <v>55</v>
      </c>
      <c r="H77" s="142">
        <v>0</v>
      </c>
      <c r="O77" s="29">
        <v>0</v>
      </c>
      <c r="P77" s="141" t="s">
        <v>427</v>
      </c>
      <c r="R77" s="33"/>
      <c r="S77" s="48"/>
    </row>
    <row r="78" spans="1:19">
      <c r="A78" s="138" t="s">
        <v>391</v>
      </c>
      <c r="B78" s="138" t="s">
        <v>357</v>
      </c>
      <c r="C78" s="139">
        <v>0</v>
      </c>
      <c r="D78" s="35">
        <v>13</v>
      </c>
      <c r="E78" s="139">
        <v>0</v>
      </c>
      <c r="F78" s="140">
        <v>0</v>
      </c>
      <c r="G78" s="141" t="s">
        <v>364</v>
      </c>
      <c r="H78" s="142">
        <v>0</v>
      </c>
      <c r="O78" s="29">
        <v>0</v>
      </c>
      <c r="P78" s="141" t="s">
        <v>427</v>
      </c>
      <c r="R78" s="33"/>
      <c r="S78" s="48"/>
    </row>
    <row r="79" spans="1:19">
      <c r="A79" s="138" t="s">
        <v>391</v>
      </c>
      <c r="B79" s="138" t="s">
        <v>359</v>
      </c>
      <c r="C79" s="139">
        <v>0</v>
      </c>
      <c r="D79" s="35">
        <v>13</v>
      </c>
      <c r="E79" s="139">
        <v>0</v>
      </c>
      <c r="F79" s="140">
        <v>0</v>
      </c>
      <c r="G79" s="141" t="s">
        <v>360</v>
      </c>
      <c r="H79" s="142">
        <v>0</v>
      </c>
      <c r="O79" s="29">
        <v>0</v>
      </c>
      <c r="P79" s="141" t="s">
        <v>427</v>
      </c>
      <c r="R79" s="33"/>
      <c r="S79" s="48"/>
    </row>
    <row r="80" spans="1:19">
      <c r="A80" s="138" t="s">
        <v>392</v>
      </c>
      <c r="B80" s="138" t="s">
        <v>356</v>
      </c>
      <c r="C80" s="139">
        <v>1223.1842562916038</v>
      </c>
      <c r="D80" s="35">
        <v>13</v>
      </c>
      <c r="E80" s="139">
        <v>1723.656785814981</v>
      </c>
      <c r="F80" s="140">
        <v>0</v>
      </c>
      <c r="G80" s="141" t="s">
        <v>55</v>
      </c>
      <c r="H80" s="142">
        <v>0</v>
      </c>
      <c r="O80" s="29">
        <v>0</v>
      </c>
      <c r="P80" s="141" t="s">
        <v>427</v>
      </c>
      <c r="R80" s="33"/>
      <c r="S80" s="48"/>
    </row>
    <row r="81" spans="1:19">
      <c r="A81" s="138" t="s">
        <v>392</v>
      </c>
      <c r="B81" s="138" t="s">
        <v>357</v>
      </c>
      <c r="C81" s="139">
        <v>0</v>
      </c>
      <c r="D81" s="35">
        <v>13</v>
      </c>
      <c r="E81" s="139">
        <v>0</v>
      </c>
      <c r="F81" s="140">
        <v>0</v>
      </c>
      <c r="G81" s="141" t="s">
        <v>358</v>
      </c>
      <c r="H81" s="142">
        <v>0</v>
      </c>
      <c r="O81" s="29">
        <v>0</v>
      </c>
      <c r="P81" s="141" t="s">
        <v>427</v>
      </c>
      <c r="R81" s="33"/>
      <c r="S81" s="48"/>
    </row>
    <row r="82" spans="1:19">
      <c r="A82" s="138" t="s">
        <v>392</v>
      </c>
      <c r="B82" s="138" t="s">
        <v>359</v>
      </c>
      <c r="C82" s="139">
        <v>0</v>
      </c>
      <c r="D82" s="35">
        <v>13</v>
      </c>
      <c r="E82" s="139">
        <v>0</v>
      </c>
      <c r="F82" s="140">
        <v>0</v>
      </c>
      <c r="G82" s="141" t="s">
        <v>360</v>
      </c>
      <c r="H82" s="142">
        <v>0</v>
      </c>
      <c r="O82" s="29">
        <v>0</v>
      </c>
      <c r="P82" s="141" t="s">
        <v>427</v>
      </c>
      <c r="R82" s="33"/>
      <c r="S82" s="48"/>
    </row>
    <row r="83" spans="1:19">
      <c r="A83" s="138" t="s">
        <v>393</v>
      </c>
      <c r="B83" s="138" t="s">
        <v>356</v>
      </c>
      <c r="C83" s="139">
        <v>1266.5397253417802</v>
      </c>
      <c r="D83" s="35">
        <v>13</v>
      </c>
      <c r="E83" s="139">
        <v>1723.656785814981</v>
      </c>
      <c r="F83" s="140">
        <v>0</v>
      </c>
      <c r="G83" s="141" t="s">
        <v>55</v>
      </c>
      <c r="H83" s="142">
        <v>0</v>
      </c>
      <c r="O83" s="29">
        <v>0</v>
      </c>
      <c r="P83" s="141" t="s">
        <v>427</v>
      </c>
      <c r="R83" s="33"/>
      <c r="S83" s="48"/>
    </row>
    <row r="84" spans="1:19">
      <c r="A84" s="138" t="s">
        <v>393</v>
      </c>
      <c r="B84" s="138" t="s">
        <v>357</v>
      </c>
      <c r="C84" s="139">
        <v>0</v>
      </c>
      <c r="D84" s="35">
        <v>13</v>
      </c>
      <c r="E84" s="139">
        <v>0</v>
      </c>
      <c r="F84" s="140">
        <v>0</v>
      </c>
      <c r="G84" s="141" t="s">
        <v>362</v>
      </c>
      <c r="H84" s="142">
        <v>0</v>
      </c>
      <c r="O84" s="29">
        <v>0</v>
      </c>
      <c r="P84" s="141" t="s">
        <v>427</v>
      </c>
      <c r="R84" s="33"/>
      <c r="S84" s="48"/>
    </row>
    <row r="85" spans="1:19">
      <c r="A85" s="138" t="s">
        <v>393</v>
      </c>
      <c r="B85" s="138" t="s">
        <v>359</v>
      </c>
      <c r="C85" s="139">
        <v>0</v>
      </c>
      <c r="D85" s="35">
        <v>13</v>
      </c>
      <c r="E85" s="139">
        <v>0</v>
      </c>
      <c r="F85" s="140">
        <v>0</v>
      </c>
      <c r="G85" s="141" t="s">
        <v>360</v>
      </c>
      <c r="H85" s="142">
        <v>0</v>
      </c>
      <c r="O85" s="29">
        <v>0</v>
      </c>
      <c r="P85" s="141" t="s">
        <v>427</v>
      </c>
      <c r="R85" s="33"/>
      <c r="S85" s="48"/>
    </row>
    <row r="86" spans="1:19">
      <c r="A86" s="138" t="s">
        <v>394</v>
      </c>
      <c r="B86" s="138" t="s">
        <v>356</v>
      </c>
      <c r="C86" s="139">
        <v>1314.3280458044628</v>
      </c>
      <c r="D86" s="35">
        <v>13</v>
      </c>
      <c r="E86" s="139">
        <v>1723.656785814981</v>
      </c>
      <c r="F86" s="140">
        <v>0</v>
      </c>
      <c r="G86" s="141" t="s">
        <v>55</v>
      </c>
      <c r="H86" s="142">
        <v>0</v>
      </c>
      <c r="O86" s="29">
        <v>0</v>
      </c>
      <c r="P86" s="141" t="s">
        <v>427</v>
      </c>
      <c r="R86" s="33"/>
      <c r="S86" s="48"/>
    </row>
    <row r="87" spans="1:19">
      <c r="A87" s="138" t="s">
        <v>394</v>
      </c>
      <c r="B87" s="138" t="s">
        <v>357</v>
      </c>
      <c r="C87" s="139">
        <v>0</v>
      </c>
      <c r="D87" s="35">
        <v>13</v>
      </c>
      <c r="E87" s="139">
        <v>0</v>
      </c>
      <c r="F87" s="140">
        <v>0</v>
      </c>
      <c r="G87" s="141" t="s">
        <v>364</v>
      </c>
      <c r="H87" s="142">
        <v>0</v>
      </c>
      <c r="O87" s="29">
        <v>0</v>
      </c>
      <c r="P87" s="141" t="s">
        <v>427</v>
      </c>
      <c r="R87" s="33"/>
      <c r="S87" s="48"/>
    </row>
    <row r="88" spans="1:19" s="143" customFormat="1">
      <c r="A88" s="138" t="s">
        <v>394</v>
      </c>
      <c r="B88" s="138" t="s">
        <v>359</v>
      </c>
      <c r="C88" s="139">
        <v>0</v>
      </c>
      <c r="D88" s="35">
        <v>13</v>
      </c>
      <c r="E88" s="139">
        <v>0</v>
      </c>
      <c r="F88" s="140">
        <v>0</v>
      </c>
      <c r="G88" s="141" t="s">
        <v>360</v>
      </c>
      <c r="H88" s="142">
        <v>0</v>
      </c>
      <c r="I88" s="7"/>
      <c r="J88" s="7"/>
      <c r="K88" s="7"/>
      <c r="L88" s="7"/>
      <c r="M88" s="7"/>
      <c r="N88" s="7"/>
      <c r="O88" s="29">
        <v>0</v>
      </c>
      <c r="P88" s="141" t="s">
        <v>427</v>
      </c>
      <c r="R88" s="144"/>
      <c r="S88" s="145"/>
    </row>
    <row r="89" spans="1:19" s="143" customFormat="1">
      <c r="A89" s="138" t="s">
        <v>395</v>
      </c>
      <c r="B89" s="138" t="s">
        <v>356</v>
      </c>
      <c r="C89" s="139">
        <v>1324.0852438842967</v>
      </c>
      <c r="D89" s="35">
        <v>13</v>
      </c>
      <c r="E89" s="139">
        <v>1723.656785814981</v>
      </c>
      <c r="F89" s="140">
        <v>0</v>
      </c>
      <c r="G89" s="141" t="s">
        <v>55</v>
      </c>
      <c r="H89" s="142">
        <v>-5.9441514576292098</v>
      </c>
      <c r="I89" s="7"/>
      <c r="J89" s="7"/>
      <c r="K89" s="7"/>
      <c r="L89" s="7"/>
      <c r="M89" s="7"/>
      <c r="N89" s="7"/>
      <c r="O89" s="29">
        <v>0</v>
      </c>
      <c r="P89" s="141" t="s">
        <v>427</v>
      </c>
      <c r="R89" s="144"/>
      <c r="S89" s="145"/>
    </row>
    <row r="90" spans="1:19">
      <c r="A90" s="138" t="s">
        <v>395</v>
      </c>
      <c r="B90" s="138" t="s">
        <v>357</v>
      </c>
      <c r="C90" s="139">
        <v>-15.363969414816605</v>
      </c>
      <c r="D90" s="35">
        <v>13</v>
      </c>
      <c r="E90" s="139">
        <v>0</v>
      </c>
      <c r="F90" s="140">
        <v>0</v>
      </c>
      <c r="G90" s="141" t="s">
        <v>358</v>
      </c>
      <c r="H90" s="142">
        <v>-5.9441514576292098</v>
      </c>
      <c r="O90" s="29">
        <v>-23.153845050052741</v>
      </c>
      <c r="P90" s="141" t="s">
        <v>358</v>
      </c>
      <c r="R90" s="33"/>
      <c r="S90" s="48"/>
    </row>
    <row r="91" spans="1:19">
      <c r="A91" s="138" t="s">
        <v>395</v>
      </c>
      <c r="B91" s="138" t="s">
        <v>359</v>
      </c>
      <c r="C91" s="139">
        <v>0</v>
      </c>
      <c r="D91" s="35">
        <v>13</v>
      </c>
      <c r="E91" s="139">
        <v>0</v>
      </c>
      <c r="F91" s="140">
        <v>0</v>
      </c>
      <c r="G91" s="141" t="s">
        <v>360</v>
      </c>
      <c r="H91" s="142">
        <v>-5.9441514576292098</v>
      </c>
      <c r="O91" s="29">
        <v>0</v>
      </c>
      <c r="P91" s="141" t="s">
        <v>427</v>
      </c>
      <c r="R91" s="33"/>
      <c r="S91" s="48"/>
    </row>
    <row r="92" spans="1:19">
      <c r="A92" s="138" t="s">
        <v>396</v>
      </c>
      <c r="B92" s="138" t="s">
        <v>356</v>
      </c>
      <c r="C92" s="139">
        <v>1316.0755011663753</v>
      </c>
      <c r="D92" s="35">
        <v>13</v>
      </c>
      <c r="E92" s="139">
        <v>1723.656785814981</v>
      </c>
      <c r="F92" s="140">
        <v>0</v>
      </c>
      <c r="G92" s="141" t="s">
        <v>55</v>
      </c>
      <c r="H92" s="142">
        <v>-6.0048589260144016</v>
      </c>
      <c r="O92" s="29">
        <v>0</v>
      </c>
      <c r="P92" s="141" t="s">
        <v>427</v>
      </c>
      <c r="R92" s="33"/>
      <c r="S92" s="48"/>
    </row>
    <row r="93" spans="1:19">
      <c r="A93" s="138" t="s">
        <v>396</v>
      </c>
      <c r="B93" s="138" t="s">
        <v>357</v>
      </c>
      <c r="C93" s="139">
        <v>-17.086068267406365</v>
      </c>
      <c r="D93" s="35">
        <v>13</v>
      </c>
      <c r="E93" s="139">
        <v>0</v>
      </c>
      <c r="F93" s="140">
        <v>0</v>
      </c>
      <c r="G93" s="141" t="s">
        <v>358</v>
      </c>
      <c r="H93" s="142">
        <v>-6.0048589260144016</v>
      </c>
      <c r="O93" s="29">
        <v>-23.33057251849884</v>
      </c>
      <c r="P93" s="141" t="s">
        <v>358</v>
      </c>
      <c r="R93" s="33"/>
      <c r="S93" s="48"/>
    </row>
    <row r="94" spans="1:19">
      <c r="A94" s="138" t="s">
        <v>396</v>
      </c>
      <c r="B94" s="138" t="s">
        <v>359</v>
      </c>
      <c r="C94" s="139">
        <v>24.260143064392583</v>
      </c>
      <c r="D94" s="35">
        <v>13</v>
      </c>
      <c r="E94" s="139">
        <v>0</v>
      </c>
      <c r="F94" s="140">
        <v>0</v>
      </c>
      <c r="G94" s="141" t="s">
        <v>360</v>
      </c>
      <c r="H94" s="142">
        <v>-6.0048589260144016</v>
      </c>
      <c r="O94" s="29">
        <v>0</v>
      </c>
      <c r="P94" s="141" t="s">
        <v>427</v>
      </c>
      <c r="R94" s="33"/>
      <c r="S94" s="48"/>
    </row>
    <row r="95" spans="1:19">
      <c r="A95" s="138" t="s">
        <v>397</v>
      </c>
      <c r="B95" s="138" t="s">
        <v>356</v>
      </c>
      <c r="C95" s="139">
        <v>1324.0852438842967</v>
      </c>
      <c r="D95" s="35">
        <v>13</v>
      </c>
      <c r="E95" s="139">
        <v>1723.656785814981</v>
      </c>
      <c r="F95" s="140">
        <v>0</v>
      </c>
      <c r="G95" s="141" t="s">
        <v>55</v>
      </c>
      <c r="H95" s="142">
        <v>-4.1894909500755189</v>
      </c>
      <c r="O95" s="29">
        <v>0</v>
      </c>
      <c r="P95" s="141" t="s">
        <v>427</v>
      </c>
      <c r="R95" s="33"/>
      <c r="S95" s="48"/>
    </row>
    <row r="96" spans="1:19">
      <c r="A96" s="138" t="s">
        <v>397</v>
      </c>
      <c r="B96" s="138" t="s">
        <v>357</v>
      </c>
      <c r="C96" s="139">
        <v>-412.63283865554803</v>
      </c>
      <c r="D96" s="35">
        <v>13</v>
      </c>
      <c r="E96" s="139">
        <v>0</v>
      </c>
      <c r="F96" s="140">
        <v>0</v>
      </c>
      <c r="G96" s="141" t="s">
        <v>358</v>
      </c>
      <c r="H96" s="142">
        <v>-4.1894909500755189</v>
      </c>
      <c r="O96" s="29">
        <v>-0.98243382669916823</v>
      </c>
      <c r="P96" s="141" t="s">
        <v>358</v>
      </c>
      <c r="R96" s="33"/>
      <c r="S96" s="48"/>
    </row>
    <row r="97" spans="1:19">
      <c r="A97" s="138" t="s">
        <v>397</v>
      </c>
      <c r="B97" s="138" t="s">
        <v>359</v>
      </c>
      <c r="C97" s="139">
        <v>0</v>
      </c>
      <c r="D97" s="35">
        <v>13</v>
      </c>
      <c r="E97" s="139">
        <v>0</v>
      </c>
      <c r="F97" s="140">
        <v>0</v>
      </c>
      <c r="G97" s="141" t="s">
        <v>360</v>
      </c>
      <c r="H97" s="142">
        <v>-4.1894909500755189</v>
      </c>
      <c r="O97" s="29">
        <v>0</v>
      </c>
      <c r="P97" s="141" t="s">
        <v>427</v>
      </c>
      <c r="R97" s="33"/>
      <c r="S97" s="48"/>
    </row>
    <row r="98" spans="1:19">
      <c r="A98" s="138" t="s">
        <v>398</v>
      </c>
      <c r="B98" s="138" t="s">
        <v>356</v>
      </c>
      <c r="C98" s="139">
        <v>1316.0770064573082</v>
      </c>
      <c r="D98" s="35">
        <v>13</v>
      </c>
      <c r="E98" s="139">
        <v>1723.656785814981</v>
      </c>
      <c r="F98" s="140">
        <v>0</v>
      </c>
      <c r="G98" s="141" t="s">
        <v>55</v>
      </c>
      <c r="H98" s="142">
        <v>-2.0973053850110888</v>
      </c>
      <c r="O98" s="29">
        <v>0</v>
      </c>
      <c r="P98" s="141" t="s">
        <v>427</v>
      </c>
      <c r="R98" s="33"/>
      <c r="S98" s="48"/>
    </row>
    <row r="99" spans="1:19">
      <c r="A99" s="138" t="s">
        <v>398</v>
      </c>
      <c r="B99" s="138" t="s">
        <v>357</v>
      </c>
      <c r="C99" s="139">
        <v>-206.5685508949704</v>
      </c>
      <c r="D99" s="35">
        <v>13</v>
      </c>
      <c r="E99" s="139">
        <v>0</v>
      </c>
      <c r="F99" s="140">
        <v>0</v>
      </c>
      <c r="G99" s="141" t="s">
        <v>368</v>
      </c>
      <c r="H99" s="142">
        <v>-2.0973053850110888</v>
      </c>
      <c r="O99" s="29">
        <v>-0.49181721113780535</v>
      </c>
      <c r="P99" s="141" t="s">
        <v>368</v>
      </c>
      <c r="R99" s="33"/>
      <c r="S99" s="48"/>
    </row>
    <row r="100" spans="1:19">
      <c r="A100" s="138" t="s">
        <v>398</v>
      </c>
      <c r="B100" s="138" t="s">
        <v>359</v>
      </c>
      <c r="C100" s="139">
        <v>24.421893213472643</v>
      </c>
      <c r="D100" s="35">
        <v>13</v>
      </c>
      <c r="E100" s="139">
        <v>0</v>
      </c>
      <c r="F100" s="140">
        <v>0</v>
      </c>
      <c r="G100" s="141" t="s">
        <v>360</v>
      </c>
      <c r="H100" s="142">
        <v>-2.0973053850110888</v>
      </c>
      <c r="O100" s="29">
        <v>0</v>
      </c>
      <c r="P100" s="141" t="s">
        <v>427</v>
      </c>
      <c r="R100" s="33"/>
      <c r="S100" s="48"/>
    </row>
    <row r="101" spans="1:19">
      <c r="A101" s="138" t="s">
        <v>399</v>
      </c>
      <c r="B101" s="138" t="s">
        <v>356</v>
      </c>
      <c r="C101" s="139">
        <v>1324.0383153223725</v>
      </c>
      <c r="D101" s="35">
        <v>13</v>
      </c>
      <c r="E101" s="139">
        <v>1723.656785814981</v>
      </c>
      <c r="F101" s="140">
        <v>0</v>
      </c>
      <c r="G101" s="141" t="s">
        <v>55</v>
      </c>
      <c r="H101" s="142">
        <v>-3.7370993889199546</v>
      </c>
      <c r="O101" s="29">
        <v>0</v>
      </c>
      <c r="P101" s="141" t="s">
        <v>427</v>
      </c>
      <c r="R101" s="33"/>
      <c r="S101" s="48"/>
    </row>
    <row r="102" spans="1:19">
      <c r="A102" s="138" t="s">
        <v>399</v>
      </c>
      <c r="B102" s="138" t="s">
        <v>357</v>
      </c>
      <c r="C102" s="139">
        <v>-368.07572747236946</v>
      </c>
      <c r="D102" s="35">
        <v>13</v>
      </c>
      <c r="E102" s="139">
        <v>0</v>
      </c>
      <c r="F102" s="140">
        <v>0</v>
      </c>
      <c r="G102" s="141" t="s">
        <v>369</v>
      </c>
      <c r="H102" s="142">
        <v>-3.7370993889199546</v>
      </c>
      <c r="O102" s="29">
        <v>-0.87634820009470937</v>
      </c>
      <c r="P102" s="141" t="s">
        <v>369</v>
      </c>
      <c r="R102" s="33"/>
      <c r="S102" s="48"/>
    </row>
    <row r="103" spans="1:19" s="143" customFormat="1">
      <c r="A103" s="138" t="s">
        <v>399</v>
      </c>
      <c r="B103" s="138" t="s">
        <v>359</v>
      </c>
      <c r="C103" s="139">
        <v>0</v>
      </c>
      <c r="D103" s="35">
        <v>13</v>
      </c>
      <c r="E103" s="139">
        <v>0</v>
      </c>
      <c r="F103" s="140">
        <v>0</v>
      </c>
      <c r="G103" s="141" t="s">
        <v>360</v>
      </c>
      <c r="H103" s="142">
        <v>-3.7370993889199546</v>
      </c>
      <c r="I103" s="7"/>
      <c r="J103" s="7"/>
      <c r="K103" s="7"/>
      <c r="L103" s="7"/>
      <c r="M103" s="7"/>
      <c r="N103" s="7"/>
      <c r="O103" s="29">
        <v>0</v>
      </c>
      <c r="P103" s="141" t="s">
        <v>427</v>
      </c>
      <c r="R103" s="144"/>
      <c r="S103" s="145"/>
    </row>
    <row r="104" spans="1:19">
      <c r="A104" s="138" t="s">
        <v>400</v>
      </c>
      <c r="B104" s="138" t="s">
        <v>356</v>
      </c>
      <c r="C104" s="139">
        <v>1391.0336357633525</v>
      </c>
      <c r="D104" s="35">
        <v>13</v>
      </c>
      <c r="E104" s="139">
        <v>1723.656785814981</v>
      </c>
      <c r="F104" s="140">
        <v>0</v>
      </c>
      <c r="G104" s="141" t="s">
        <v>55</v>
      </c>
      <c r="H104" s="142">
        <v>-5.4440304673790685</v>
      </c>
      <c r="O104" s="29">
        <v>0</v>
      </c>
      <c r="P104" s="141" t="s">
        <v>427</v>
      </c>
      <c r="R104" s="33"/>
      <c r="S104" s="48"/>
    </row>
    <row r="105" spans="1:19">
      <c r="A105" s="138" t="s">
        <v>400</v>
      </c>
      <c r="B105" s="138" t="s">
        <v>357</v>
      </c>
      <c r="C105" s="139">
        <v>-15.062666342738595</v>
      </c>
      <c r="D105" s="35">
        <v>13</v>
      </c>
      <c r="E105" s="139">
        <v>0</v>
      </c>
      <c r="F105" s="140">
        <v>0</v>
      </c>
      <c r="G105" s="141" t="s">
        <v>362</v>
      </c>
      <c r="H105" s="142">
        <v>-5.4440304673790685</v>
      </c>
      <c r="O105" s="29">
        <v>-20.737905959487712</v>
      </c>
      <c r="P105" s="141" t="s">
        <v>362</v>
      </c>
      <c r="R105" s="33"/>
      <c r="S105" s="48"/>
    </row>
    <row r="106" spans="1:19">
      <c r="A106" s="138" t="s">
        <v>400</v>
      </c>
      <c r="B106" s="138" t="s">
        <v>359</v>
      </c>
      <c r="C106" s="139">
        <v>0</v>
      </c>
      <c r="D106" s="35">
        <v>13</v>
      </c>
      <c r="E106" s="139">
        <v>0</v>
      </c>
      <c r="F106" s="140">
        <v>0</v>
      </c>
      <c r="G106" s="141" t="s">
        <v>360</v>
      </c>
      <c r="H106" s="142">
        <v>-5.4440304673790685</v>
      </c>
      <c r="O106" s="29">
        <v>0</v>
      </c>
      <c r="P106" s="141" t="s">
        <v>427</v>
      </c>
      <c r="R106" s="33"/>
      <c r="S106" s="48"/>
    </row>
    <row r="107" spans="1:19">
      <c r="A107" s="138" t="s">
        <v>401</v>
      </c>
      <c r="B107" s="138" t="s">
        <v>356</v>
      </c>
      <c r="C107" s="139">
        <v>1380.3276519840069</v>
      </c>
      <c r="D107" s="35">
        <v>13</v>
      </c>
      <c r="E107" s="139">
        <v>1723.656785814981</v>
      </c>
      <c r="F107" s="140">
        <v>0</v>
      </c>
      <c r="G107" s="141" t="s">
        <v>55</v>
      </c>
      <c r="H107" s="142">
        <v>-5.5228967840556029</v>
      </c>
      <c r="O107" s="29">
        <v>0</v>
      </c>
      <c r="P107" s="141" t="s">
        <v>427</v>
      </c>
      <c r="R107" s="33"/>
      <c r="S107" s="48"/>
    </row>
    <row r="108" spans="1:19">
      <c r="A108" s="138" t="s">
        <v>401</v>
      </c>
      <c r="B108" s="138" t="s">
        <v>357</v>
      </c>
      <c r="C108" s="139">
        <v>-15.987874815959577</v>
      </c>
      <c r="D108" s="35">
        <v>13</v>
      </c>
      <c r="E108" s="139">
        <v>0</v>
      </c>
      <c r="F108" s="140">
        <v>0</v>
      </c>
      <c r="G108" s="141" t="s">
        <v>362</v>
      </c>
      <c r="H108" s="142">
        <v>-5.5228967840556029</v>
      </c>
      <c r="O108" s="29">
        <v>-21.011255008342282</v>
      </c>
      <c r="P108" s="141" t="s">
        <v>362</v>
      </c>
      <c r="R108" s="33"/>
      <c r="S108" s="48"/>
    </row>
    <row r="109" spans="1:19">
      <c r="A109" s="138" t="s">
        <v>401</v>
      </c>
      <c r="B109" s="138" t="s">
        <v>359</v>
      </c>
      <c r="C109" s="139">
        <v>28.6847888478184</v>
      </c>
      <c r="D109" s="35">
        <v>13</v>
      </c>
      <c r="E109" s="139">
        <v>0</v>
      </c>
      <c r="F109" s="140">
        <v>0</v>
      </c>
      <c r="G109" s="141" t="s">
        <v>360</v>
      </c>
      <c r="H109" s="142">
        <v>-5.5228967840556029</v>
      </c>
      <c r="O109" s="29">
        <v>0</v>
      </c>
      <c r="P109" s="141" t="s">
        <v>427</v>
      </c>
      <c r="R109" s="33"/>
      <c r="S109" s="48"/>
    </row>
    <row r="110" spans="1:19">
      <c r="A110" s="138" t="s">
        <v>402</v>
      </c>
      <c r="B110" s="138" t="s">
        <v>356</v>
      </c>
      <c r="C110" s="139">
        <v>1391.0336357633525</v>
      </c>
      <c r="D110" s="35">
        <v>13</v>
      </c>
      <c r="E110" s="139">
        <v>1723.656785814981</v>
      </c>
      <c r="F110" s="140">
        <v>0</v>
      </c>
      <c r="G110" s="141" t="s">
        <v>55</v>
      </c>
      <c r="H110" s="142">
        <v>-3.8418884745265709</v>
      </c>
      <c r="O110" s="29">
        <v>0</v>
      </c>
      <c r="P110" s="141" t="s">
        <v>427</v>
      </c>
      <c r="R110" s="33"/>
      <c r="S110" s="48"/>
    </row>
    <row r="111" spans="1:19">
      <c r="A111" s="138" t="s">
        <v>402</v>
      </c>
      <c r="B111" s="138" t="s">
        <v>357</v>
      </c>
      <c r="C111" s="139">
        <v>-385.22603710083416</v>
      </c>
      <c r="D111" s="35">
        <v>13</v>
      </c>
      <c r="E111" s="139">
        <v>0</v>
      </c>
      <c r="F111" s="140">
        <v>0</v>
      </c>
      <c r="G111" s="141" t="s">
        <v>362</v>
      </c>
      <c r="H111" s="142">
        <v>-3.8418884745265709</v>
      </c>
      <c r="O111" s="29">
        <v>-0.2890266596300195</v>
      </c>
      <c r="P111" s="141" t="s">
        <v>362</v>
      </c>
      <c r="R111" s="33"/>
      <c r="S111" s="48"/>
    </row>
    <row r="112" spans="1:19">
      <c r="A112" s="138" t="s">
        <v>402</v>
      </c>
      <c r="B112" s="138" t="s">
        <v>359</v>
      </c>
      <c r="C112" s="139">
        <v>0</v>
      </c>
      <c r="D112" s="35">
        <v>13</v>
      </c>
      <c r="E112" s="139">
        <v>0</v>
      </c>
      <c r="F112" s="140">
        <v>0</v>
      </c>
      <c r="G112" s="141" t="s">
        <v>360</v>
      </c>
      <c r="H112" s="142">
        <v>-3.8418884745265709</v>
      </c>
      <c r="O112" s="29">
        <v>0</v>
      </c>
      <c r="P112" s="141" t="s">
        <v>427</v>
      </c>
      <c r="R112" s="33"/>
      <c r="S112" s="48"/>
    </row>
    <row r="113" spans="1:19">
      <c r="A113" s="138" t="s">
        <v>403</v>
      </c>
      <c r="B113" s="138" t="s">
        <v>356</v>
      </c>
      <c r="C113" s="139">
        <v>1380.3591529043192</v>
      </c>
      <c r="D113" s="35">
        <v>13</v>
      </c>
      <c r="E113" s="139">
        <v>1723.656785814981</v>
      </c>
      <c r="F113" s="140">
        <v>0</v>
      </c>
      <c r="G113" s="141" t="s">
        <v>55</v>
      </c>
      <c r="H113" s="142">
        <v>-2.5228089325470129</v>
      </c>
      <c r="O113" s="29">
        <v>0</v>
      </c>
      <c r="P113" s="141" t="s">
        <v>427</v>
      </c>
      <c r="R113" s="33"/>
      <c r="S113" s="48"/>
    </row>
    <row r="114" spans="1:19">
      <c r="A114" s="138" t="s">
        <v>403</v>
      </c>
      <c r="B114" s="138" t="s">
        <v>357</v>
      </c>
      <c r="C114" s="139">
        <v>-252.96197270990055</v>
      </c>
      <c r="D114" s="35">
        <v>13</v>
      </c>
      <c r="E114" s="139">
        <v>0</v>
      </c>
      <c r="F114" s="140">
        <v>0</v>
      </c>
      <c r="G114" s="141" t="s">
        <v>375</v>
      </c>
      <c r="H114" s="142">
        <v>-2.5228089325470129</v>
      </c>
      <c r="O114" s="29">
        <v>-0.18979182854824836</v>
      </c>
      <c r="P114" s="141" t="s">
        <v>375</v>
      </c>
      <c r="R114" s="33"/>
      <c r="S114" s="48"/>
    </row>
    <row r="115" spans="1:19">
      <c r="A115" s="138" t="s">
        <v>403</v>
      </c>
      <c r="B115" s="138" t="s">
        <v>359</v>
      </c>
      <c r="C115" s="139">
        <v>28.872396664052179</v>
      </c>
      <c r="D115" s="35">
        <v>13</v>
      </c>
      <c r="E115" s="139">
        <v>0</v>
      </c>
      <c r="F115" s="140">
        <v>0</v>
      </c>
      <c r="G115" s="141" t="s">
        <v>360</v>
      </c>
      <c r="H115" s="142">
        <v>-2.5228089325470129</v>
      </c>
      <c r="O115" s="29">
        <v>0</v>
      </c>
      <c r="P115" s="141" t="s">
        <v>427</v>
      </c>
      <c r="R115" s="33"/>
      <c r="S115" s="48"/>
    </row>
    <row r="116" spans="1:19">
      <c r="A116" s="138" t="s">
        <v>404</v>
      </c>
      <c r="B116" s="138" t="s">
        <v>356</v>
      </c>
      <c r="C116" s="139">
        <v>1390.9229293709941</v>
      </c>
      <c r="D116" s="35">
        <v>13</v>
      </c>
      <c r="E116" s="139">
        <v>1723.656785814981</v>
      </c>
      <c r="F116" s="140">
        <v>0</v>
      </c>
      <c r="G116" s="141" t="s">
        <v>55</v>
      </c>
      <c r="H116" s="142">
        <v>-3.4129491992416567</v>
      </c>
      <c r="O116" s="29">
        <v>0</v>
      </c>
      <c r="P116" s="141" t="s">
        <v>427</v>
      </c>
      <c r="R116" s="33"/>
      <c r="S116" s="48"/>
    </row>
    <row r="117" spans="1:19">
      <c r="A117" s="138" t="s">
        <v>404</v>
      </c>
      <c r="B117" s="138" t="s">
        <v>357</v>
      </c>
      <c r="C117" s="139">
        <v>-342.2163093925688</v>
      </c>
      <c r="D117" s="35">
        <v>13</v>
      </c>
      <c r="E117" s="139">
        <v>0</v>
      </c>
      <c r="F117" s="140">
        <v>0</v>
      </c>
      <c r="G117" s="141" t="s">
        <v>376</v>
      </c>
      <c r="H117" s="142">
        <v>-3.4129491992416567</v>
      </c>
      <c r="O117" s="29">
        <v>-0.25675740279403153</v>
      </c>
      <c r="P117" s="141" t="s">
        <v>376</v>
      </c>
      <c r="R117" s="33"/>
      <c r="S117" s="48"/>
    </row>
    <row r="118" spans="1:19" s="143" customFormat="1">
      <c r="A118" s="138" t="s">
        <v>404</v>
      </c>
      <c r="B118" s="138" t="s">
        <v>359</v>
      </c>
      <c r="C118" s="139">
        <v>0</v>
      </c>
      <c r="D118" s="35">
        <v>13</v>
      </c>
      <c r="E118" s="139">
        <v>0</v>
      </c>
      <c r="F118" s="140">
        <v>0</v>
      </c>
      <c r="G118" s="141" t="s">
        <v>360</v>
      </c>
      <c r="H118" s="142">
        <v>-3.4129491992416567</v>
      </c>
      <c r="I118" s="7"/>
      <c r="J118" s="7"/>
      <c r="K118" s="7"/>
      <c r="L118" s="7"/>
      <c r="M118" s="7"/>
      <c r="N118" s="7"/>
      <c r="O118" s="29">
        <v>0</v>
      </c>
      <c r="P118" s="141" t="s">
        <v>427</v>
      </c>
      <c r="R118" s="144"/>
      <c r="S118" s="145"/>
    </row>
    <row r="119" spans="1:19">
      <c r="A119" s="138" t="s">
        <v>405</v>
      </c>
      <c r="B119" s="138" t="s">
        <v>356</v>
      </c>
      <c r="C119" s="139">
        <v>1450.0418890160797</v>
      </c>
      <c r="D119" s="35">
        <v>13</v>
      </c>
      <c r="E119" s="139">
        <v>1723.656785814981</v>
      </c>
      <c r="F119" s="140">
        <v>0</v>
      </c>
      <c r="G119" s="141" t="s">
        <v>55</v>
      </c>
      <c r="H119" s="142">
        <v>-5.0194233238403738</v>
      </c>
      <c r="O119" s="29">
        <v>0</v>
      </c>
      <c r="P119" s="141" t="s">
        <v>427</v>
      </c>
      <c r="R119" s="33"/>
      <c r="S119" s="48"/>
    </row>
    <row r="120" spans="1:19">
      <c r="A120" s="138" t="s">
        <v>405</v>
      </c>
      <c r="B120" s="138" t="s">
        <v>357</v>
      </c>
      <c r="C120" s="139">
        <v>-14.122007358272722</v>
      </c>
      <c r="D120" s="35">
        <v>13</v>
      </c>
      <c r="E120" s="139">
        <v>0</v>
      </c>
      <c r="F120" s="140">
        <v>0</v>
      </c>
      <c r="G120" s="141" t="s">
        <v>364</v>
      </c>
      <c r="H120" s="142">
        <v>-5.0194233238403738</v>
      </c>
      <c r="O120" s="29">
        <v>-19.111485688175385</v>
      </c>
      <c r="P120" s="141" t="s">
        <v>364</v>
      </c>
      <c r="R120" s="33"/>
      <c r="S120" s="48"/>
    </row>
    <row r="121" spans="1:19">
      <c r="A121" s="138" t="s">
        <v>405</v>
      </c>
      <c r="B121" s="138" t="s">
        <v>359</v>
      </c>
      <c r="C121" s="139">
        <v>0</v>
      </c>
      <c r="D121" s="35">
        <v>13</v>
      </c>
      <c r="E121" s="139">
        <v>0</v>
      </c>
      <c r="F121" s="140">
        <v>0</v>
      </c>
      <c r="G121" s="141" t="s">
        <v>360</v>
      </c>
      <c r="H121" s="142">
        <v>-5.0194233238403738</v>
      </c>
      <c r="O121" s="29">
        <v>0</v>
      </c>
      <c r="P121" s="141" t="s">
        <v>427</v>
      </c>
      <c r="R121" s="33"/>
      <c r="S121" s="48"/>
    </row>
    <row r="122" spans="1:19">
      <c r="A122" s="138" t="s">
        <v>406</v>
      </c>
      <c r="B122" s="138" t="s">
        <v>356</v>
      </c>
      <c r="C122" s="139">
        <v>1441.8583173911265</v>
      </c>
      <c r="D122" s="35">
        <v>13</v>
      </c>
      <c r="E122" s="139">
        <v>1723.656785814981</v>
      </c>
      <c r="F122" s="140">
        <v>0</v>
      </c>
      <c r="G122" s="141" t="s">
        <v>55</v>
      </c>
      <c r="H122" s="142">
        <v>-5.1093698410214863</v>
      </c>
      <c r="O122" s="29">
        <v>0</v>
      </c>
      <c r="P122" s="141" t="s">
        <v>427</v>
      </c>
      <c r="R122" s="33"/>
      <c r="S122" s="48"/>
    </row>
    <row r="123" spans="1:19">
      <c r="A123" s="138" t="s">
        <v>406</v>
      </c>
      <c r="B123" s="138" t="s">
        <v>357</v>
      </c>
      <c r="C123" s="139">
        <v>-14.761057837891732</v>
      </c>
      <c r="D123" s="35">
        <v>13</v>
      </c>
      <c r="E123" s="139">
        <v>0</v>
      </c>
      <c r="F123" s="140">
        <v>0</v>
      </c>
      <c r="G123" s="141" t="s">
        <v>364</v>
      </c>
      <c r="H123" s="142">
        <v>-5.1093698410214863</v>
      </c>
      <c r="O123" s="29">
        <v>-19.439175476088117</v>
      </c>
      <c r="P123" s="141" t="s">
        <v>364</v>
      </c>
      <c r="R123" s="33"/>
      <c r="S123" s="48"/>
    </row>
    <row r="124" spans="1:19">
      <c r="A124" s="138" t="s">
        <v>406</v>
      </c>
      <c r="B124" s="138" t="s">
        <v>359</v>
      </c>
      <c r="C124" s="139">
        <v>32.694375620221805</v>
      </c>
      <c r="D124" s="35">
        <v>13</v>
      </c>
      <c r="E124" s="139">
        <v>0</v>
      </c>
      <c r="F124" s="140">
        <v>0</v>
      </c>
      <c r="G124" s="141" t="s">
        <v>360</v>
      </c>
      <c r="H124" s="142">
        <v>-5.1093698410214863</v>
      </c>
      <c r="O124" s="29">
        <v>0</v>
      </c>
      <c r="P124" s="141" t="s">
        <v>427</v>
      </c>
      <c r="R124" s="33"/>
      <c r="S124" s="48"/>
    </row>
    <row r="125" spans="1:19">
      <c r="A125" s="138" t="s">
        <v>407</v>
      </c>
      <c r="B125" s="138" t="s">
        <v>356</v>
      </c>
      <c r="C125" s="139">
        <v>1450.0418890160797</v>
      </c>
      <c r="D125" s="35">
        <v>13</v>
      </c>
      <c r="E125" s="139">
        <v>1723.656785814981</v>
      </c>
      <c r="F125" s="140">
        <v>0</v>
      </c>
      <c r="G125" s="141" t="s">
        <v>55</v>
      </c>
      <c r="H125" s="142">
        <v>-3.5358190100180655</v>
      </c>
      <c r="O125" s="29">
        <v>0</v>
      </c>
      <c r="P125" s="141" t="s">
        <v>427</v>
      </c>
      <c r="R125" s="33"/>
      <c r="S125" s="48"/>
    </row>
    <row r="126" spans="1:19">
      <c r="A126" s="138" t="s">
        <v>407</v>
      </c>
      <c r="B126" s="138" t="s">
        <v>357</v>
      </c>
      <c r="C126" s="139">
        <v>-354.53646147365117</v>
      </c>
      <c r="D126" s="35">
        <v>13</v>
      </c>
      <c r="E126" s="139">
        <v>0</v>
      </c>
      <c r="F126" s="140">
        <v>0</v>
      </c>
      <c r="G126" s="141" t="s">
        <v>364</v>
      </c>
      <c r="H126" s="142">
        <v>-3.5358190100180655</v>
      </c>
      <c r="O126" s="29">
        <v>-0.26600094310332018</v>
      </c>
      <c r="P126" s="141" t="s">
        <v>364</v>
      </c>
      <c r="R126" s="33"/>
      <c r="S126" s="48"/>
    </row>
    <row r="127" spans="1:19">
      <c r="A127" s="138" t="s">
        <v>407</v>
      </c>
      <c r="B127" s="138" t="s">
        <v>359</v>
      </c>
      <c r="C127" s="139">
        <v>0</v>
      </c>
      <c r="D127" s="35">
        <v>13</v>
      </c>
      <c r="E127" s="139">
        <v>0</v>
      </c>
      <c r="F127" s="140">
        <v>0</v>
      </c>
      <c r="G127" s="141" t="s">
        <v>360</v>
      </c>
      <c r="H127" s="142">
        <v>-3.5358190100180655</v>
      </c>
      <c r="O127" s="29">
        <v>0</v>
      </c>
      <c r="P127" s="141" t="s">
        <v>427</v>
      </c>
      <c r="R127" s="33"/>
      <c r="S127" s="48"/>
    </row>
    <row r="128" spans="1:19">
      <c r="A128" s="138" t="s">
        <v>408</v>
      </c>
      <c r="B128" s="138" t="s">
        <v>356</v>
      </c>
      <c r="C128" s="139">
        <v>1441.8850188978379</v>
      </c>
      <c r="D128" s="35">
        <v>13</v>
      </c>
      <c r="E128" s="139">
        <v>1723.656785814981</v>
      </c>
      <c r="F128" s="140">
        <v>0</v>
      </c>
      <c r="G128" s="141" t="s">
        <v>55</v>
      </c>
      <c r="H128" s="142">
        <v>-2.6575166424749979</v>
      </c>
      <c r="O128" s="29">
        <v>0</v>
      </c>
      <c r="P128" s="141" t="s">
        <v>427</v>
      </c>
      <c r="R128" s="33"/>
      <c r="S128" s="48"/>
    </row>
    <row r="129" spans="1:19">
      <c r="A129" s="138" t="s">
        <v>408</v>
      </c>
      <c r="B129" s="138" t="s">
        <v>357</v>
      </c>
      <c r="C129" s="139">
        <v>-266.46911056841969</v>
      </c>
      <c r="D129" s="35">
        <v>13</v>
      </c>
      <c r="E129" s="139">
        <v>0</v>
      </c>
      <c r="F129" s="140">
        <v>0</v>
      </c>
      <c r="G129" s="141" t="s">
        <v>382</v>
      </c>
      <c r="H129" s="142">
        <v>-2.6575166424749979</v>
      </c>
      <c r="O129" s="29">
        <v>-0.19992593829272576</v>
      </c>
      <c r="P129" s="141" t="s">
        <v>382</v>
      </c>
      <c r="R129" s="33"/>
      <c r="S129" s="48"/>
    </row>
    <row r="130" spans="1:19">
      <c r="A130" s="138" t="s">
        <v>408</v>
      </c>
      <c r="B130" s="138" t="s">
        <v>359</v>
      </c>
      <c r="C130" s="139">
        <v>32.905802572236439</v>
      </c>
      <c r="D130" s="35">
        <v>13</v>
      </c>
      <c r="E130" s="139">
        <v>0</v>
      </c>
      <c r="F130" s="140">
        <v>0</v>
      </c>
      <c r="G130" s="141" t="s">
        <v>360</v>
      </c>
      <c r="H130" s="142">
        <v>-2.6575166424749979</v>
      </c>
      <c r="O130" s="29">
        <v>0</v>
      </c>
      <c r="P130" s="141" t="s">
        <v>427</v>
      </c>
      <c r="R130" s="33"/>
      <c r="S130" s="48"/>
    </row>
    <row r="131" spans="1:19">
      <c r="A131" s="138" t="s">
        <v>409</v>
      </c>
      <c r="B131" s="138" t="s">
        <v>356</v>
      </c>
      <c r="C131" s="139">
        <v>1449.9493423890888</v>
      </c>
      <c r="D131" s="35">
        <v>13</v>
      </c>
      <c r="E131" s="139">
        <v>1723.656785814981</v>
      </c>
      <c r="F131" s="140">
        <v>0</v>
      </c>
      <c r="G131" s="141" t="s">
        <v>55</v>
      </c>
      <c r="H131" s="142">
        <v>-3.1309652653031641</v>
      </c>
      <c r="O131" s="29">
        <v>0</v>
      </c>
      <c r="P131" s="141" t="s">
        <v>427</v>
      </c>
      <c r="R131" s="33"/>
      <c r="S131" s="48"/>
    </row>
    <row r="132" spans="1:19">
      <c r="A132" s="138" t="s">
        <v>409</v>
      </c>
      <c r="B132" s="138" t="s">
        <v>357</v>
      </c>
      <c r="C132" s="139">
        <v>-313.94178916183381</v>
      </c>
      <c r="D132" s="35">
        <v>13</v>
      </c>
      <c r="E132" s="139">
        <v>0</v>
      </c>
      <c r="F132" s="140">
        <v>0</v>
      </c>
      <c r="G132" s="141" t="s">
        <v>383</v>
      </c>
      <c r="H132" s="142">
        <v>-3.1309652653031641</v>
      </c>
      <c r="O132" s="29">
        <v>-0.23554364944435421</v>
      </c>
      <c r="P132" s="141" t="s">
        <v>383</v>
      </c>
      <c r="R132" s="33"/>
      <c r="S132" s="48"/>
    </row>
    <row r="133" spans="1:19" s="143" customFormat="1">
      <c r="A133" s="138" t="s">
        <v>409</v>
      </c>
      <c r="B133" s="138" t="s">
        <v>359</v>
      </c>
      <c r="C133" s="139">
        <v>0</v>
      </c>
      <c r="D133" s="35">
        <v>13</v>
      </c>
      <c r="E133" s="139">
        <v>0</v>
      </c>
      <c r="F133" s="140">
        <v>0</v>
      </c>
      <c r="G133" s="141" t="s">
        <v>360</v>
      </c>
      <c r="H133" s="142">
        <v>-3.1309652653031641</v>
      </c>
      <c r="I133" s="7"/>
      <c r="J133" s="7"/>
      <c r="K133" s="7"/>
      <c r="L133" s="7"/>
      <c r="M133" s="7"/>
      <c r="N133" s="7"/>
      <c r="O133" s="29">
        <v>0</v>
      </c>
      <c r="P133" s="141" t="s">
        <v>427</v>
      </c>
      <c r="R133" s="144"/>
      <c r="S133" s="145"/>
    </row>
    <row r="134" spans="1:19" s="143" customFormat="1">
      <c r="A134" s="138" t="s">
        <v>410</v>
      </c>
      <c r="B134" s="138" t="s">
        <v>356</v>
      </c>
      <c r="C134" s="139">
        <v>1234.5727196821686</v>
      </c>
      <c r="D134" s="35">
        <v>13</v>
      </c>
      <c r="E134" s="139">
        <v>1897.9476917164566</v>
      </c>
      <c r="F134" s="140">
        <v>0</v>
      </c>
      <c r="G134" s="141" t="s">
        <v>55</v>
      </c>
      <c r="H134" s="142">
        <v>-6.2855322443401054</v>
      </c>
      <c r="I134" s="7"/>
      <c r="J134" s="7"/>
      <c r="K134" s="7"/>
      <c r="L134" s="7"/>
      <c r="M134" s="7"/>
      <c r="N134" s="7"/>
      <c r="O134" s="29">
        <v>0</v>
      </c>
      <c r="P134" s="141" t="s">
        <v>427</v>
      </c>
      <c r="R134" s="144"/>
      <c r="S134" s="145"/>
    </row>
    <row r="135" spans="1:19">
      <c r="A135" s="138" t="s">
        <v>410</v>
      </c>
      <c r="B135" s="138" t="s">
        <v>357</v>
      </c>
      <c r="C135" s="139">
        <v>-16.279038219751875</v>
      </c>
      <c r="D135" s="35">
        <v>13</v>
      </c>
      <c r="E135" s="139">
        <v>0</v>
      </c>
      <c r="F135" s="140">
        <v>0</v>
      </c>
      <c r="G135" s="141" t="s">
        <v>358</v>
      </c>
      <c r="H135" s="142">
        <v>-6.2855322443401054</v>
      </c>
      <c r="O135" s="29">
        <v>-24.482354245446007</v>
      </c>
      <c r="P135" s="141" t="s">
        <v>358</v>
      </c>
      <c r="R135" s="33"/>
      <c r="S135" s="48"/>
    </row>
    <row r="136" spans="1:19">
      <c r="A136" s="138" t="s">
        <v>410</v>
      </c>
      <c r="B136" s="138" t="s">
        <v>359</v>
      </c>
      <c r="C136" s="139">
        <v>0</v>
      </c>
      <c r="D136" s="35">
        <v>13</v>
      </c>
      <c r="E136" s="139">
        <v>0</v>
      </c>
      <c r="F136" s="140">
        <v>0</v>
      </c>
      <c r="G136" s="141" t="s">
        <v>360</v>
      </c>
      <c r="H136" s="142">
        <v>-6.2855322443401054</v>
      </c>
      <c r="O136" s="29">
        <v>0</v>
      </c>
      <c r="P136" s="141" t="s">
        <v>427</v>
      </c>
      <c r="R136" s="33"/>
      <c r="S136" s="48"/>
    </row>
    <row r="137" spans="1:19">
      <c r="A137" s="138" t="s">
        <v>411</v>
      </c>
      <c r="B137" s="138" t="s">
        <v>356</v>
      </c>
      <c r="C137" s="139">
        <v>1225.5729181651936</v>
      </c>
      <c r="D137" s="35">
        <v>13</v>
      </c>
      <c r="E137" s="139">
        <v>1897.9476917164566</v>
      </c>
      <c r="F137" s="140">
        <v>0</v>
      </c>
      <c r="G137" s="141" t="s">
        <v>55</v>
      </c>
      <c r="H137" s="142">
        <v>-6.2015808772542336</v>
      </c>
      <c r="O137" s="29">
        <v>0</v>
      </c>
      <c r="P137" s="141" t="s">
        <v>427</v>
      </c>
      <c r="R137" s="33"/>
      <c r="S137" s="48"/>
    </row>
    <row r="138" spans="1:19">
      <c r="A138" s="138" t="s">
        <v>411</v>
      </c>
      <c r="B138" s="138" t="s">
        <v>357</v>
      </c>
      <c r="C138" s="139">
        <v>-17.647821133111741</v>
      </c>
      <c r="D138" s="35">
        <v>13</v>
      </c>
      <c r="E138" s="139">
        <v>0</v>
      </c>
      <c r="F138" s="140">
        <v>0</v>
      </c>
      <c r="G138" s="141" t="s">
        <v>358</v>
      </c>
      <c r="H138" s="142">
        <v>-6.2015808772542336</v>
      </c>
      <c r="O138" s="29">
        <v>-24.094816303381748</v>
      </c>
      <c r="P138" s="141" t="s">
        <v>358</v>
      </c>
      <c r="R138" s="33"/>
      <c r="S138" s="48"/>
    </row>
    <row r="139" spans="1:19">
      <c r="A139" s="138" t="s">
        <v>411</v>
      </c>
      <c r="B139" s="138" t="s">
        <v>359</v>
      </c>
      <c r="C139" s="139">
        <v>0.62049271267866857</v>
      </c>
      <c r="D139" s="35">
        <v>13</v>
      </c>
      <c r="E139" s="139">
        <v>0</v>
      </c>
      <c r="F139" s="140">
        <v>0</v>
      </c>
      <c r="G139" s="141" t="s">
        <v>360</v>
      </c>
      <c r="H139" s="142">
        <v>-6.2015808772542336</v>
      </c>
      <c r="O139" s="29">
        <v>0</v>
      </c>
      <c r="P139" s="141" t="s">
        <v>427</v>
      </c>
      <c r="R139" s="33"/>
      <c r="S139" s="48"/>
    </row>
    <row r="140" spans="1:19">
      <c r="A140" s="138" t="s">
        <v>412</v>
      </c>
      <c r="B140" s="138" t="s">
        <v>356</v>
      </c>
      <c r="C140" s="139">
        <v>1234.5727196821686</v>
      </c>
      <c r="D140" s="35">
        <v>13</v>
      </c>
      <c r="E140" s="139">
        <v>1897.9476917164566</v>
      </c>
      <c r="F140" s="140">
        <v>0</v>
      </c>
      <c r="G140" s="141" t="s">
        <v>55</v>
      </c>
      <c r="H140" s="142">
        <v>-4.4301250813296376</v>
      </c>
      <c r="O140" s="29">
        <v>0</v>
      </c>
      <c r="P140" s="141" t="s">
        <v>427</v>
      </c>
      <c r="R140" s="33"/>
      <c r="S140" s="48"/>
    </row>
    <row r="141" spans="1:19">
      <c r="A141" s="138" t="s">
        <v>412</v>
      </c>
      <c r="B141" s="138" t="s">
        <v>357</v>
      </c>
      <c r="C141" s="139">
        <v>-436.33346143765698</v>
      </c>
      <c r="D141" s="35">
        <v>13</v>
      </c>
      <c r="E141" s="139">
        <v>0</v>
      </c>
      <c r="F141" s="140">
        <v>0</v>
      </c>
      <c r="G141" s="141" t="s">
        <v>358</v>
      </c>
      <c r="H141" s="142">
        <v>-4.4301250813296376</v>
      </c>
      <c r="O141" s="29">
        <v>-1.0388624270278439</v>
      </c>
      <c r="P141" s="141" t="s">
        <v>358</v>
      </c>
      <c r="R141" s="33"/>
      <c r="S141" s="48"/>
    </row>
    <row r="142" spans="1:19">
      <c r="A142" s="138" t="s">
        <v>412</v>
      </c>
      <c r="B142" s="138" t="s">
        <v>359</v>
      </c>
      <c r="C142" s="139">
        <v>0</v>
      </c>
      <c r="D142" s="35">
        <v>13</v>
      </c>
      <c r="E142" s="139">
        <v>0</v>
      </c>
      <c r="F142" s="140">
        <v>0</v>
      </c>
      <c r="G142" s="141" t="s">
        <v>360</v>
      </c>
      <c r="H142" s="142">
        <v>-4.4301250813296376</v>
      </c>
      <c r="O142" s="29">
        <v>0</v>
      </c>
      <c r="P142" s="141" t="s">
        <v>427</v>
      </c>
      <c r="R142" s="33"/>
      <c r="S142" s="48"/>
    </row>
    <row r="143" spans="1:19">
      <c r="A143" s="138" t="s">
        <v>413</v>
      </c>
      <c r="B143" s="138" t="s">
        <v>356</v>
      </c>
      <c r="C143" s="139">
        <v>1225.5860396558901</v>
      </c>
      <c r="D143" s="35">
        <v>13</v>
      </c>
      <c r="E143" s="139">
        <v>1897.9476917164566</v>
      </c>
      <c r="F143" s="140">
        <v>0</v>
      </c>
      <c r="G143" s="141" t="s">
        <v>55</v>
      </c>
      <c r="H143" s="142">
        <v>-1.8234897029295896</v>
      </c>
      <c r="O143" s="29">
        <v>0</v>
      </c>
      <c r="P143" s="141" t="s">
        <v>427</v>
      </c>
      <c r="R143" s="33"/>
      <c r="S143" s="48"/>
    </row>
    <row r="144" spans="1:19">
      <c r="A144" s="138" t="s">
        <v>413</v>
      </c>
      <c r="B144" s="138" t="s">
        <v>357</v>
      </c>
      <c r="C144" s="139">
        <v>-179.59979896016611</v>
      </c>
      <c r="D144" s="35">
        <v>13</v>
      </c>
      <c r="E144" s="139">
        <v>0</v>
      </c>
      <c r="F144" s="140">
        <v>0</v>
      </c>
      <c r="G144" s="141" t="s">
        <v>368</v>
      </c>
      <c r="H144" s="142">
        <v>-1.8234897029295896</v>
      </c>
      <c r="O144" s="29">
        <v>-0.42760755140510653</v>
      </c>
      <c r="P144" s="141" t="s">
        <v>368</v>
      </c>
      <c r="R144" s="33"/>
      <c r="S144" s="48"/>
    </row>
    <row r="145" spans="1:19">
      <c r="A145" s="138" t="s">
        <v>413</v>
      </c>
      <c r="B145" s="138" t="s">
        <v>359</v>
      </c>
      <c r="C145" s="139">
        <v>0.64813215957179571</v>
      </c>
      <c r="D145" s="35">
        <v>13</v>
      </c>
      <c r="E145" s="139">
        <v>0</v>
      </c>
      <c r="F145" s="140">
        <v>0</v>
      </c>
      <c r="G145" s="141" t="s">
        <v>360</v>
      </c>
      <c r="H145" s="142">
        <v>-1.8234897029295896</v>
      </c>
      <c r="O145" s="29">
        <v>0</v>
      </c>
      <c r="P145" s="141" t="s">
        <v>427</v>
      </c>
      <c r="R145" s="33"/>
      <c r="S145" s="48"/>
    </row>
    <row r="146" spans="1:19">
      <c r="A146" s="138" t="s">
        <v>414</v>
      </c>
      <c r="B146" s="138" t="s">
        <v>356</v>
      </c>
      <c r="C146" s="139">
        <v>1234.4927716557054</v>
      </c>
      <c r="D146" s="35">
        <v>13</v>
      </c>
      <c r="E146" s="139">
        <v>1897.9476917164566</v>
      </c>
      <c r="F146" s="140">
        <v>0</v>
      </c>
      <c r="G146" s="141" t="s">
        <v>55</v>
      </c>
      <c r="H146" s="142">
        <v>-4.5509330002376753</v>
      </c>
      <c r="O146" s="29">
        <v>0</v>
      </c>
      <c r="P146" s="141" t="s">
        <v>427</v>
      </c>
      <c r="R146" s="33"/>
      <c r="S146" s="48"/>
    </row>
    <row r="147" spans="1:19">
      <c r="A147" s="138" t="s">
        <v>414</v>
      </c>
      <c r="B147" s="138" t="s">
        <v>357</v>
      </c>
      <c r="C147" s="139">
        <v>-448.23211812533742</v>
      </c>
      <c r="D147" s="35">
        <v>13</v>
      </c>
      <c r="E147" s="139">
        <v>0</v>
      </c>
      <c r="F147" s="140">
        <v>0</v>
      </c>
      <c r="G147" s="141" t="s">
        <v>369</v>
      </c>
      <c r="H147" s="142">
        <v>-4.5509330002376753</v>
      </c>
      <c r="O147" s="29">
        <v>-1.0671918320755494</v>
      </c>
      <c r="P147" s="141" t="s">
        <v>369</v>
      </c>
      <c r="R147" s="33"/>
      <c r="S147" s="48"/>
    </row>
    <row r="148" spans="1:19">
      <c r="A148" s="138" t="s">
        <v>414</v>
      </c>
      <c r="B148" s="138" t="s">
        <v>359</v>
      </c>
      <c r="C148" s="139">
        <v>0</v>
      </c>
      <c r="D148" s="35">
        <v>13</v>
      </c>
      <c r="E148" s="139">
        <v>0</v>
      </c>
      <c r="F148" s="140">
        <v>0</v>
      </c>
      <c r="G148" s="141" t="s">
        <v>360</v>
      </c>
      <c r="H148" s="142">
        <v>-4.5509330002376753</v>
      </c>
      <c r="O148" s="29">
        <v>0</v>
      </c>
      <c r="P148" s="141" t="s">
        <v>427</v>
      </c>
      <c r="R148" s="33"/>
      <c r="S148" s="48"/>
    </row>
    <row r="149" spans="1:19">
      <c r="A149" s="138" t="s">
        <v>415</v>
      </c>
      <c r="B149" s="138" t="s">
        <v>356</v>
      </c>
      <c r="C149" s="139">
        <v>1298.9051597917216</v>
      </c>
      <c r="D149" s="35">
        <v>13</v>
      </c>
      <c r="E149" s="139">
        <v>1897.9476917164566</v>
      </c>
      <c r="F149" s="140">
        <v>0</v>
      </c>
      <c r="G149" s="141" t="s">
        <v>55</v>
      </c>
      <c r="H149" s="142">
        <v>-6.4560629365815867</v>
      </c>
      <c r="O149" s="29">
        <v>0</v>
      </c>
      <c r="P149" s="141" t="s">
        <v>427</v>
      </c>
      <c r="R149" s="33"/>
      <c r="S149" s="48"/>
    </row>
    <row r="150" spans="1:19">
      <c r="A150" s="138" t="s">
        <v>415</v>
      </c>
      <c r="B150" s="138" t="s">
        <v>357</v>
      </c>
      <c r="C150" s="139">
        <v>-17.871627298185473</v>
      </c>
      <c r="D150" s="35">
        <v>13</v>
      </c>
      <c r="E150" s="139">
        <v>0</v>
      </c>
      <c r="F150" s="140">
        <v>0</v>
      </c>
      <c r="G150" s="141" t="s">
        <v>362</v>
      </c>
      <c r="H150" s="142">
        <v>-6.4560629365815867</v>
      </c>
      <c r="O150" s="29">
        <v>-24.592695138657536</v>
      </c>
      <c r="P150" s="141" t="s">
        <v>362</v>
      </c>
      <c r="R150" s="33"/>
      <c r="S150" s="48"/>
    </row>
    <row r="151" spans="1:19">
      <c r="A151" s="138" t="s">
        <v>415</v>
      </c>
      <c r="B151" s="138" t="s">
        <v>359</v>
      </c>
      <c r="C151" s="139">
        <v>0</v>
      </c>
      <c r="D151" s="35">
        <v>13</v>
      </c>
      <c r="E151" s="139">
        <v>0</v>
      </c>
      <c r="F151" s="140">
        <v>0</v>
      </c>
      <c r="G151" s="141" t="s">
        <v>360</v>
      </c>
      <c r="H151" s="142">
        <v>-6.4560629365815867</v>
      </c>
      <c r="O151" s="29">
        <v>0</v>
      </c>
      <c r="P151" s="141" t="s">
        <v>427</v>
      </c>
      <c r="R151" s="33"/>
      <c r="S151" s="48"/>
    </row>
    <row r="152" spans="1:19">
      <c r="A152" s="138" t="s">
        <v>416</v>
      </c>
      <c r="B152" s="138" t="s">
        <v>356</v>
      </c>
      <c r="C152" s="139">
        <v>1286.6066472310522</v>
      </c>
      <c r="D152" s="35">
        <v>13</v>
      </c>
      <c r="E152" s="139">
        <v>1897.9476917164566</v>
      </c>
      <c r="F152" s="140">
        <v>0</v>
      </c>
      <c r="G152" s="141" t="s">
        <v>55</v>
      </c>
      <c r="H152" s="142">
        <v>-6.4120608495621978</v>
      </c>
      <c r="O152" s="29">
        <v>0</v>
      </c>
      <c r="P152" s="141" t="s">
        <v>427</v>
      </c>
      <c r="R152" s="33"/>
      <c r="S152" s="48"/>
    </row>
    <row r="153" spans="1:19">
      <c r="A153" s="138" t="s">
        <v>416</v>
      </c>
      <c r="B153" s="138" t="s">
        <v>357</v>
      </c>
      <c r="C153" s="139">
        <v>-18.571268634953114</v>
      </c>
      <c r="D153" s="35">
        <v>13</v>
      </c>
      <c r="E153" s="139">
        <v>0</v>
      </c>
      <c r="F153" s="140">
        <v>0</v>
      </c>
      <c r="G153" s="141" t="s">
        <v>362</v>
      </c>
      <c r="H153" s="142">
        <v>-6.4120608495621978</v>
      </c>
      <c r="O153" s="29">
        <v>-24.393621767788311</v>
      </c>
      <c r="P153" s="141" t="s">
        <v>362</v>
      </c>
      <c r="R153" s="33"/>
      <c r="S153" s="48"/>
    </row>
    <row r="154" spans="1:19">
      <c r="A154" s="138" t="s">
        <v>416</v>
      </c>
      <c r="B154" s="138" t="s">
        <v>359</v>
      </c>
      <c r="C154" s="139">
        <v>1.2031062407854249</v>
      </c>
      <c r="D154" s="35">
        <v>13</v>
      </c>
      <c r="E154" s="139">
        <v>0</v>
      </c>
      <c r="F154" s="140">
        <v>0</v>
      </c>
      <c r="G154" s="141" t="s">
        <v>360</v>
      </c>
      <c r="H154" s="142">
        <v>-6.4120608495621978</v>
      </c>
      <c r="O154" s="29">
        <v>0</v>
      </c>
      <c r="P154" s="141" t="s">
        <v>427</v>
      </c>
      <c r="R154" s="33"/>
      <c r="S154" s="48"/>
    </row>
    <row r="155" spans="1:19">
      <c r="A155" s="138" t="s">
        <v>417</v>
      </c>
      <c r="B155" s="138" t="s">
        <v>356</v>
      </c>
      <c r="C155" s="139">
        <v>1298.9051597917216</v>
      </c>
      <c r="D155" s="35">
        <v>13</v>
      </c>
      <c r="E155" s="139">
        <v>1897.9476917164566</v>
      </c>
      <c r="F155" s="140">
        <v>0</v>
      </c>
      <c r="G155" s="141" t="s">
        <v>55</v>
      </c>
      <c r="H155" s="142">
        <v>-4.5560934065676459</v>
      </c>
      <c r="O155" s="29">
        <v>0</v>
      </c>
      <c r="P155" s="141" t="s">
        <v>427</v>
      </c>
      <c r="R155" s="33"/>
      <c r="S155" s="48"/>
    </row>
    <row r="156" spans="1:19">
      <c r="A156" s="138" t="s">
        <v>417</v>
      </c>
      <c r="B156" s="138" t="s">
        <v>357</v>
      </c>
      <c r="C156" s="139">
        <v>-456.83934328405394</v>
      </c>
      <c r="D156" s="35">
        <v>13</v>
      </c>
      <c r="E156" s="139">
        <v>0</v>
      </c>
      <c r="F156" s="140">
        <v>0</v>
      </c>
      <c r="G156" s="141" t="s">
        <v>362</v>
      </c>
      <c r="H156" s="142">
        <v>-4.5560934065676459</v>
      </c>
      <c r="O156" s="29">
        <v>-0.34275655501032581</v>
      </c>
      <c r="P156" s="141" t="s">
        <v>362</v>
      </c>
      <c r="R156" s="33"/>
      <c r="S156" s="48"/>
    </row>
    <row r="157" spans="1:19">
      <c r="A157" s="138" t="s">
        <v>417</v>
      </c>
      <c r="B157" s="138" t="s">
        <v>359</v>
      </c>
      <c r="C157" s="139">
        <v>0</v>
      </c>
      <c r="D157" s="35">
        <v>13</v>
      </c>
      <c r="E157" s="139">
        <v>0</v>
      </c>
      <c r="F157" s="140">
        <v>0</v>
      </c>
      <c r="G157" s="141" t="s">
        <v>360</v>
      </c>
      <c r="H157" s="142">
        <v>-4.5560934065676459</v>
      </c>
      <c r="O157" s="29">
        <v>0</v>
      </c>
      <c r="P157" s="141" t="s">
        <v>427</v>
      </c>
      <c r="R157" s="33"/>
      <c r="S157" s="48"/>
    </row>
    <row r="158" spans="1:19">
      <c r="A158" s="138" t="s">
        <v>418</v>
      </c>
      <c r="B158" s="138" t="s">
        <v>356</v>
      </c>
      <c r="C158" s="139">
        <v>1286.6007010934454</v>
      </c>
      <c r="D158" s="35">
        <v>13</v>
      </c>
      <c r="E158" s="139">
        <v>1897.9476917164566</v>
      </c>
      <c r="F158" s="140">
        <v>0</v>
      </c>
      <c r="G158" s="141" t="s">
        <v>55</v>
      </c>
      <c r="H158" s="142">
        <v>-2.4246733923134127</v>
      </c>
      <c r="O158" s="29">
        <v>0</v>
      </c>
      <c r="P158" s="141" t="s">
        <v>427</v>
      </c>
      <c r="R158" s="33"/>
      <c r="S158" s="48"/>
    </row>
    <row r="159" spans="1:19">
      <c r="A159" s="138" t="s">
        <v>418</v>
      </c>
      <c r="B159" s="138" t="s">
        <v>357</v>
      </c>
      <c r="C159" s="139">
        <v>-243.12192516203464</v>
      </c>
      <c r="D159" s="35">
        <v>13</v>
      </c>
      <c r="E159" s="139">
        <v>0</v>
      </c>
      <c r="F159" s="140">
        <v>0</v>
      </c>
      <c r="G159" s="141" t="s">
        <v>375</v>
      </c>
      <c r="H159" s="142">
        <v>-2.4246733923134127</v>
      </c>
      <c r="O159" s="29">
        <v>-0.18240905635879795</v>
      </c>
      <c r="P159" s="141" t="s">
        <v>375</v>
      </c>
      <c r="R159" s="33"/>
      <c r="S159" s="48"/>
    </row>
    <row r="160" spans="1:19">
      <c r="A160" s="138" t="s">
        <v>418</v>
      </c>
      <c r="B160" s="138" t="s">
        <v>359</v>
      </c>
      <c r="C160" s="139">
        <v>1.2367498537683046</v>
      </c>
      <c r="D160" s="35">
        <v>13</v>
      </c>
      <c r="E160" s="139">
        <v>0</v>
      </c>
      <c r="F160" s="140">
        <v>0</v>
      </c>
      <c r="G160" s="141" t="s">
        <v>360</v>
      </c>
      <c r="H160" s="142">
        <v>-2.4246733923134127</v>
      </c>
      <c r="O160" s="29">
        <v>0</v>
      </c>
      <c r="P160" s="141" t="s">
        <v>427</v>
      </c>
      <c r="R160" s="33"/>
      <c r="S160" s="48"/>
    </row>
    <row r="161" spans="1:19">
      <c r="A161" s="138" t="s">
        <v>419</v>
      </c>
      <c r="B161" s="138" t="s">
        <v>356</v>
      </c>
      <c r="C161" s="139">
        <v>1298.8515615837609</v>
      </c>
      <c r="D161" s="35">
        <v>13</v>
      </c>
      <c r="E161" s="139">
        <v>1897.9476917164566</v>
      </c>
      <c r="F161" s="140">
        <v>0</v>
      </c>
      <c r="G161" s="141" t="s">
        <v>55</v>
      </c>
      <c r="H161" s="142">
        <v>-4.9127129654736752</v>
      </c>
      <c r="O161" s="29">
        <v>0</v>
      </c>
      <c r="P161" s="141" t="s">
        <v>427</v>
      </c>
      <c r="R161" s="33"/>
      <c r="S161" s="48"/>
    </row>
    <row r="162" spans="1:19">
      <c r="A162" s="138" t="s">
        <v>419</v>
      </c>
      <c r="B162" s="138" t="s">
        <v>357</v>
      </c>
      <c r="C162" s="139">
        <v>-492.59757529440549</v>
      </c>
      <c r="D162" s="35">
        <v>13</v>
      </c>
      <c r="E162" s="139">
        <v>0</v>
      </c>
      <c r="F162" s="140">
        <v>0</v>
      </c>
      <c r="G162" s="141" t="s">
        <v>376</v>
      </c>
      <c r="H162" s="142">
        <v>-4.9127129654736752</v>
      </c>
      <c r="O162" s="29">
        <v>-0.36958517342357677</v>
      </c>
      <c r="P162" s="141" t="s">
        <v>376</v>
      </c>
      <c r="R162" s="33"/>
      <c r="S162" s="48"/>
    </row>
    <row r="163" spans="1:19">
      <c r="A163" s="138" t="s">
        <v>419</v>
      </c>
      <c r="B163" s="138" t="s">
        <v>359</v>
      </c>
      <c r="C163" s="139">
        <v>0</v>
      </c>
      <c r="D163" s="35">
        <v>13</v>
      </c>
      <c r="E163" s="139">
        <v>0</v>
      </c>
      <c r="F163" s="140">
        <v>0</v>
      </c>
      <c r="G163" s="141" t="s">
        <v>360</v>
      </c>
      <c r="H163" s="142">
        <v>-4.9127129654736752</v>
      </c>
      <c r="O163" s="29">
        <v>0</v>
      </c>
      <c r="P163" s="141" t="s">
        <v>427</v>
      </c>
      <c r="R163" s="33"/>
      <c r="S163" s="48"/>
    </row>
    <row r="164" spans="1:19">
      <c r="A164" s="138" t="s">
        <v>420</v>
      </c>
      <c r="B164" s="138" t="s">
        <v>356</v>
      </c>
      <c r="C164" s="139">
        <v>1355.4398751886567</v>
      </c>
      <c r="D164" s="35">
        <v>13</v>
      </c>
      <c r="E164" s="139">
        <v>1897.9476917164566</v>
      </c>
      <c r="F164" s="140">
        <v>0</v>
      </c>
      <c r="G164" s="141" t="s">
        <v>55</v>
      </c>
      <c r="H164" s="142">
        <v>-6.4421637397895388</v>
      </c>
      <c r="O164" s="29">
        <v>0</v>
      </c>
      <c r="P164" s="141" t="s">
        <v>427</v>
      </c>
      <c r="R164" s="33"/>
      <c r="S164" s="48"/>
    </row>
    <row r="165" spans="1:19">
      <c r="A165" s="138" t="s">
        <v>420</v>
      </c>
      <c r="B165" s="138" t="s">
        <v>357</v>
      </c>
      <c r="C165" s="139">
        <v>-18.163357279624051</v>
      </c>
      <c r="D165" s="35">
        <v>13</v>
      </c>
      <c r="E165" s="139">
        <v>0</v>
      </c>
      <c r="F165" s="140">
        <v>0</v>
      </c>
      <c r="G165" s="141" t="s">
        <v>364</v>
      </c>
      <c r="H165" s="142">
        <v>-6.4421637397895388</v>
      </c>
      <c r="O165" s="29">
        <v>-24.527103925432151</v>
      </c>
      <c r="P165" s="141" t="s">
        <v>364</v>
      </c>
      <c r="R165" s="33"/>
      <c r="S165" s="48"/>
    </row>
    <row r="166" spans="1:19">
      <c r="A166" s="138" t="s">
        <v>420</v>
      </c>
      <c r="B166" s="138" t="s">
        <v>359</v>
      </c>
      <c r="C166" s="139">
        <v>0</v>
      </c>
      <c r="D166" s="35">
        <v>13</v>
      </c>
      <c r="E166" s="139">
        <v>0</v>
      </c>
      <c r="F166" s="140">
        <v>0</v>
      </c>
      <c r="G166" s="141" t="s">
        <v>360</v>
      </c>
      <c r="H166" s="142">
        <v>-6.4421637397895388</v>
      </c>
      <c r="O166" s="29">
        <v>0</v>
      </c>
      <c r="P166" s="141" t="s">
        <v>427</v>
      </c>
      <c r="R166" s="33"/>
      <c r="S166" s="48"/>
    </row>
    <row r="167" spans="1:19">
      <c r="A167" s="138" t="s">
        <v>421</v>
      </c>
      <c r="B167" s="138" t="s">
        <v>356</v>
      </c>
      <c r="C167" s="139">
        <v>1345.9289389348626</v>
      </c>
      <c r="D167" s="35">
        <v>13</v>
      </c>
      <c r="E167" s="139">
        <v>1897.9476917164566</v>
      </c>
      <c r="F167" s="140">
        <v>0</v>
      </c>
      <c r="G167" s="141" t="s">
        <v>55</v>
      </c>
      <c r="H167" s="142">
        <v>-6.4108443429025233</v>
      </c>
      <c r="O167" s="29">
        <v>0</v>
      </c>
      <c r="P167" s="141" t="s">
        <v>427</v>
      </c>
      <c r="R167" s="33"/>
      <c r="S167" s="48"/>
    </row>
    <row r="168" spans="1:19">
      <c r="A168" s="138" t="s">
        <v>421</v>
      </c>
      <c r="B168" s="138" t="s">
        <v>357</v>
      </c>
      <c r="C168" s="139">
        <v>-18.561039267028669</v>
      </c>
      <c r="D168" s="35">
        <v>13</v>
      </c>
      <c r="E168" s="139">
        <v>0</v>
      </c>
      <c r="F168" s="140">
        <v>0</v>
      </c>
      <c r="G168" s="141" t="s">
        <v>364</v>
      </c>
      <c r="H168" s="142">
        <v>-6.4108443429025233</v>
      </c>
      <c r="O168" s="29">
        <v>-24.389250588492192</v>
      </c>
      <c r="P168" s="141" t="s">
        <v>364</v>
      </c>
      <c r="R168" s="33"/>
      <c r="S168" s="48"/>
    </row>
    <row r="169" spans="1:19">
      <c r="A169" s="138" t="s">
        <v>421</v>
      </c>
      <c r="B169" s="138" t="s">
        <v>359</v>
      </c>
      <c r="C169" s="139">
        <v>1.1510808474086724</v>
      </c>
      <c r="D169" s="35">
        <v>13</v>
      </c>
      <c r="E169" s="139">
        <v>0</v>
      </c>
      <c r="F169" s="140">
        <v>0</v>
      </c>
      <c r="G169" s="141" t="s">
        <v>360</v>
      </c>
      <c r="H169" s="142">
        <v>-6.4108443429025233</v>
      </c>
      <c r="O169" s="29">
        <v>0</v>
      </c>
      <c r="P169" s="141" t="s">
        <v>427</v>
      </c>
      <c r="R169" s="33"/>
      <c r="S169" s="48"/>
    </row>
    <row r="170" spans="1:19">
      <c r="A170" s="138" t="s">
        <v>422</v>
      </c>
      <c r="B170" s="138" t="s">
        <v>356</v>
      </c>
      <c r="C170" s="139">
        <v>1355.4398751886567</v>
      </c>
      <c r="D170" s="35">
        <v>13</v>
      </c>
      <c r="E170" s="139">
        <v>1897.9476917164566</v>
      </c>
      <c r="F170" s="140">
        <v>0</v>
      </c>
      <c r="G170" s="141" t="s">
        <v>55</v>
      </c>
      <c r="H170" s="142">
        <v>-4.5380662070019984</v>
      </c>
      <c r="O170" s="29">
        <v>0</v>
      </c>
      <c r="P170" s="141" t="s">
        <v>427</v>
      </c>
      <c r="R170" s="33"/>
      <c r="S170" s="48"/>
    </row>
    <row r="171" spans="1:19">
      <c r="A171" s="138" t="s">
        <v>422</v>
      </c>
      <c r="B171" s="138" t="s">
        <v>357</v>
      </c>
      <c r="C171" s="139">
        <v>-455.0317565478054</v>
      </c>
      <c r="D171" s="35">
        <v>13</v>
      </c>
      <c r="E171" s="139">
        <v>0</v>
      </c>
      <c r="F171" s="140">
        <v>0</v>
      </c>
      <c r="G171" s="141" t="s">
        <v>364</v>
      </c>
      <c r="H171" s="142">
        <v>-4.5380662070019984</v>
      </c>
      <c r="O171" s="29">
        <v>-0.34140036226618709</v>
      </c>
      <c r="P171" s="141" t="s">
        <v>364</v>
      </c>
      <c r="R171" s="33"/>
      <c r="S171" s="48"/>
    </row>
    <row r="172" spans="1:19">
      <c r="A172" s="138" t="s">
        <v>422</v>
      </c>
      <c r="B172" s="138" t="s">
        <v>359</v>
      </c>
      <c r="C172" s="139">
        <v>0</v>
      </c>
      <c r="D172" s="35">
        <v>13</v>
      </c>
      <c r="E172" s="139">
        <v>0</v>
      </c>
      <c r="F172" s="140">
        <v>0</v>
      </c>
      <c r="G172" s="141" t="s">
        <v>360</v>
      </c>
      <c r="H172" s="142">
        <v>-4.5380662070019984</v>
      </c>
      <c r="O172" s="29">
        <v>0</v>
      </c>
      <c r="P172" s="141" t="s">
        <v>427</v>
      </c>
      <c r="R172" s="33"/>
      <c r="S172" s="48"/>
    </row>
    <row r="173" spans="1:19">
      <c r="A173" s="138" t="s">
        <v>423</v>
      </c>
      <c r="B173" s="138" t="s">
        <v>356</v>
      </c>
      <c r="C173" s="139">
        <v>1345.9215707169872</v>
      </c>
      <c r="D173" s="35">
        <v>13</v>
      </c>
      <c r="E173" s="139">
        <v>1897.9476917164566</v>
      </c>
      <c r="F173" s="140">
        <v>0</v>
      </c>
      <c r="G173" s="141" t="s">
        <v>55</v>
      </c>
      <c r="H173" s="142">
        <v>-2.8763897596132191</v>
      </c>
      <c r="O173" s="29">
        <v>0</v>
      </c>
      <c r="P173" s="141" t="s">
        <v>427</v>
      </c>
      <c r="R173" s="33"/>
      <c r="S173" s="48"/>
    </row>
    <row r="174" spans="1:19">
      <c r="A174" s="138" t="s">
        <v>423</v>
      </c>
      <c r="B174" s="138" t="s">
        <v>357</v>
      </c>
      <c r="C174" s="139">
        <v>-288.41551117377662</v>
      </c>
      <c r="D174" s="35">
        <v>13</v>
      </c>
      <c r="E174" s="139">
        <v>0</v>
      </c>
      <c r="F174" s="140">
        <v>0</v>
      </c>
      <c r="G174" s="141" t="s">
        <v>382</v>
      </c>
      <c r="H174" s="142">
        <v>-2.8763897596132191</v>
      </c>
      <c r="O174" s="29">
        <v>-0.21639184206601672</v>
      </c>
      <c r="P174" s="141" t="s">
        <v>382</v>
      </c>
      <c r="R174" s="33"/>
      <c r="S174" s="48"/>
    </row>
    <row r="175" spans="1:19">
      <c r="A175" s="138" t="s">
        <v>423</v>
      </c>
      <c r="B175" s="138" t="s">
        <v>359</v>
      </c>
      <c r="C175" s="139">
        <v>1.1874452247775933</v>
      </c>
      <c r="D175" s="35">
        <v>13</v>
      </c>
      <c r="E175" s="139">
        <v>0</v>
      </c>
      <c r="F175" s="140">
        <v>0</v>
      </c>
      <c r="G175" s="141" t="s">
        <v>360</v>
      </c>
      <c r="H175" s="142">
        <v>-2.8763897596132191</v>
      </c>
      <c r="O175" s="29">
        <v>0</v>
      </c>
      <c r="P175" s="141" t="s">
        <v>427</v>
      </c>
      <c r="R175" s="33"/>
      <c r="S175" s="48"/>
    </row>
    <row r="176" spans="1:19">
      <c r="A176" s="138" t="s">
        <v>424</v>
      </c>
      <c r="B176" s="138" t="s">
        <v>356</v>
      </c>
      <c r="C176" s="139">
        <v>1355.2585187366058</v>
      </c>
      <c r="D176" s="35">
        <v>13</v>
      </c>
      <c r="E176" s="139">
        <v>1897.9476917164566</v>
      </c>
      <c r="F176" s="140">
        <v>0</v>
      </c>
      <c r="G176" s="141" t="s">
        <v>55</v>
      </c>
      <c r="H176" s="142">
        <v>-5.0502662376209386</v>
      </c>
      <c r="O176" s="29">
        <v>0</v>
      </c>
      <c r="P176" s="141" t="s">
        <v>427</v>
      </c>
      <c r="R176" s="33"/>
      <c r="S176" s="48"/>
    </row>
    <row r="177" spans="1:19">
      <c r="A177" s="138" t="s">
        <v>424</v>
      </c>
      <c r="B177" s="138" t="s">
        <v>357</v>
      </c>
      <c r="C177" s="139">
        <v>-506.39003758759395</v>
      </c>
      <c r="D177" s="35">
        <v>13</v>
      </c>
      <c r="E177" s="139">
        <v>0</v>
      </c>
      <c r="F177" s="140">
        <v>0</v>
      </c>
      <c r="G177" s="141" t="s">
        <v>383</v>
      </c>
      <c r="H177" s="142">
        <v>-5.0502662376209386</v>
      </c>
      <c r="O177" s="29">
        <v>-0.37993335584310983</v>
      </c>
      <c r="P177" s="141" t="s">
        <v>383</v>
      </c>
      <c r="R177" s="33"/>
      <c r="S177" s="48"/>
    </row>
    <row r="178" spans="1:19">
      <c r="A178" s="138" t="s">
        <v>424</v>
      </c>
      <c r="B178" s="138" t="s">
        <v>359</v>
      </c>
      <c r="C178" s="139">
        <v>0</v>
      </c>
      <c r="D178" s="35">
        <v>13</v>
      </c>
      <c r="E178" s="139">
        <v>0</v>
      </c>
      <c r="F178" s="140">
        <v>0</v>
      </c>
      <c r="G178" s="141" t="s">
        <v>360</v>
      </c>
      <c r="H178" s="142">
        <v>-5.0502662376209386</v>
      </c>
      <c r="O178" s="29">
        <v>0</v>
      </c>
      <c r="P178" s="141" t="s">
        <v>427</v>
      </c>
    </row>
  </sheetData>
  <mergeCells count="2">
    <mergeCell ref="I6:N6"/>
    <mergeCell ref="O6:P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sheetPr codeName="Sheet3"/>
  <dimension ref="A1:BD56"/>
  <sheetViews>
    <sheetView workbookViewId="0">
      <selection activeCell="C6" sqref="C6"/>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65" t="s">
        <v>570</v>
      </c>
      <c r="B1" s="65" t="s">
        <v>571</v>
      </c>
      <c r="C1" s="65" t="s">
        <v>572</v>
      </c>
      <c r="D1" s="65" t="s">
        <v>539</v>
      </c>
      <c r="E1" s="65" t="s">
        <v>573</v>
      </c>
      <c r="F1" s="65" t="s">
        <v>574</v>
      </c>
      <c r="G1" s="65" t="s">
        <v>575</v>
      </c>
      <c r="H1" s="65" t="s">
        <v>576</v>
      </c>
      <c r="I1" s="65" t="s">
        <v>68</v>
      </c>
      <c r="J1" s="65" t="s">
        <v>69</v>
      </c>
      <c r="K1" s="59">
        <v>2016</v>
      </c>
      <c r="L1" s="60">
        <v>2017</v>
      </c>
      <c r="M1" s="60">
        <v>2018</v>
      </c>
      <c r="N1" s="60">
        <v>2019</v>
      </c>
      <c r="O1" s="60">
        <v>2020</v>
      </c>
      <c r="P1" s="60">
        <v>2021</v>
      </c>
      <c r="Q1" s="60">
        <v>2022</v>
      </c>
      <c r="R1" s="60">
        <v>2023</v>
      </c>
      <c r="S1" s="60">
        <v>2024</v>
      </c>
      <c r="T1" s="60">
        <v>2025</v>
      </c>
      <c r="U1" s="60">
        <v>2026</v>
      </c>
      <c r="V1" s="60">
        <v>2027</v>
      </c>
      <c r="W1" s="60">
        <v>2028</v>
      </c>
      <c r="X1" s="60">
        <v>2029</v>
      </c>
      <c r="Y1" s="60">
        <v>2030</v>
      </c>
      <c r="Z1" s="60">
        <v>2031</v>
      </c>
      <c r="AA1" s="60">
        <v>2032</v>
      </c>
      <c r="AB1" s="60">
        <v>2033</v>
      </c>
      <c r="AC1" s="60">
        <v>2034</v>
      </c>
      <c r="AD1" s="60">
        <v>2035</v>
      </c>
      <c r="AE1" s="61" t="s">
        <v>63</v>
      </c>
      <c r="AF1" s="39" t="s">
        <v>577</v>
      </c>
      <c r="AG1" s="40"/>
      <c r="AH1" s="40"/>
      <c r="AI1" s="40"/>
      <c r="AJ1" s="40"/>
      <c r="AK1" s="40"/>
      <c r="AL1" s="40"/>
      <c r="AM1" s="40"/>
      <c r="AN1" s="40"/>
      <c r="AO1" s="40"/>
      <c r="AP1" s="40"/>
      <c r="AQ1" s="34"/>
      <c r="AR1" s="38"/>
      <c r="AS1" s="39" t="s">
        <v>578</v>
      </c>
      <c r="AT1" s="40"/>
      <c r="AU1" s="40"/>
      <c r="AV1" s="40"/>
      <c r="AW1" s="40"/>
      <c r="AX1" s="40"/>
      <c r="AY1" s="40"/>
      <c r="AZ1" s="40"/>
      <c r="BA1" s="40"/>
      <c r="BB1" s="40"/>
      <c r="BC1" s="40"/>
      <c r="BD1" s="34"/>
    </row>
    <row r="2" spans="1:56" ht="15">
      <c r="A2" s="65"/>
      <c r="B2" s="65"/>
      <c r="C2" s="65"/>
      <c r="D2" s="65"/>
      <c r="E2" s="65"/>
      <c r="F2" s="65" t="s">
        <v>561</v>
      </c>
      <c r="G2" s="65" t="s">
        <v>46</v>
      </c>
      <c r="H2" s="65" t="s">
        <v>67</v>
      </c>
      <c r="I2" s="65">
        <v>1</v>
      </c>
      <c r="J2" s="65"/>
      <c r="K2" s="62" t="str">
        <f>CONCATENATE("aMW_",K$1)</f>
        <v>aMW_2016</v>
      </c>
      <c r="L2" s="62" t="str">
        <f t="shared" ref="L2:AD2" si="0">CONCATENATE("aMW_",L$1)</f>
        <v>aMW_2017</v>
      </c>
      <c r="M2" s="62" t="str">
        <f t="shared" si="0"/>
        <v>aMW_2018</v>
      </c>
      <c r="N2" s="62" t="str">
        <f t="shared" si="0"/>
        <v>aMW_2019</v>
      </c>
      <c r="O2" s="62" t="str">
        <f t="shared" si="0"/>
        <v>aMW_2020</v>
      </c>
      <c r="P2" s="62" t="str">
        <f t="shared" si="0"/>
        <v>aMW_2021</v>
      </c>
      <c r="Q2" s="62" t="str">
        <f t="shared" si="0"/>
        <v>aMW_2022</v>
      </c>
      <c r="R2" s="62" t="str">
        <f t="shared" si="0"/>
        <v>aMW_2023</v>
      </c>
      <c r="S2" s="62" t="str">
        <f t="shared" si="0"/>
        <v>aMW_2024</v>
      </c>
      <c r="T2" s="62" t="str">
        <f t="shared" si="0"/>
        <v>aMW_2025</v>
      </c>
      <c r="U2" s="62" t="str">
        <f t="shared" si="0"/>
        <v>aMW_2026</v>
      </c>
      <c r="V2" s="62" t="str">
        <f t="shared" si="0"/>
        <v>aMW_2027</v>
      </c>
      <c r="W2" s="62" t="str">
        <f t="shared" si="0"/>
        <v>aMW_2028</v>
      </c>
      <c r="X2" s="62" t="str">
        <f t="shared" si="0"/>
        <v>aMW_2029</v>
      </c>
      <c r="Y2" s="62" t="str">
        <f t="shared" si="0"/>
        <v>aMW_2030</v>
      </c>
      <c r="Z2" s="62" t="str">
        <f t="shared" si="0"/>
        <v>aMW_2031</v>
      </c>
      <c r="AA2" s="62" t="str">
        <f t="shared" si="0"/>
        <v>aMW_2032</v>
      </c>
      <c r="AB2" s="62" t="str">
        <f t="shared" si="0"/>
        <v>aMW_2033</v>
      </c>
      <c r="AC2" s="62" t="str">
        <f t="shared" si="0"/>
        <v>aMW_2034</v>
      </c>
      <c r="AD2" s="62" t="str">
        <f t="shared" si="0"/>
        <v>aMW_2035</v>
      </c>
      <c r="AE2" s="64" t="s">
        <v>63</v>
      </c>
      <c r="AF2" s="32" t="s">
        <v>33</v>
      </c>
      <c r="AG2" s="32" t="s">
        <v>34</v>
      </c>
      <c r="AH2" s="32" t="s">
        <v>35</v>
      </c>
      <c r="AI2" s="32" t="s">
        <v>36</v>
      </c>
      <c r="AJ2" s="32" t="s">
        <v>37</v>
      </c>
      <c r="AK2" s="32" t="s">
        <v>38</v>
      </c>
      <c r="AL2" s="32" t="s">
        <v>39</v>
      </c>
      <c r="AM2" s="32" t="s">
        <v>40</v>
      </c>
      <c r="AN2" s="32" t="s">
        <v>41</v>
      </c>
      <c r="AO2" s="32" t="s">
        <v>42</v>
      </c>
      <c r="AP2" s="32" t="s">
        <v>43</v>
      </c>
      <c r="AQ2" s="32" t="s">
        <v>44</v>
      </c>
      <c r="AR2" s="32"/>
      <c r="AS2" s="32" t="s">
        <v>33</v>
      </c>
      <c r="AT2" s="32" t="s">
        <v>34</v>
      </c>
      <c r="AU2" s="32" t="s">
        <v>35</v>
      </c>
      <c r="AV2" s="32" t="s">
        <v>36</v>
      </c>
      <c r="AW2" s="32" t="s">
        <v>37</v>
      </c>
      <c r="AX2" s="32" t="s">
        <v>38</v>
      </c>
      <c r="AY2" s="32" t="s">
        <v>39</v>
      </c>
      <c r="AZ2" s="32" t="s">
        <v>40</v>
      </c>
      <c r="BA2" s="32" t="s">
        <v>41</v>
      </c>
      <c r="BB2" s="32" t="s">
        <v>42</v>
      </c>
      <c r="BC2" s="32" t="s">
        <v>43</v>
      </c>
      <c r="BD2" s="32" t="s">
        <v>44</v>
      </c>
    </row>
    <row r="3" spans="1:56" ht="15">
      <c r="A3" s="56" t="str">
        <f>VLOOKUP(CONCATENATE($C3," - ",$B3),[2]ACHIEV!$B$12:$C$100,2,FALSE)</f>
        <v>LO3Slow</v>
      </c>
      <c r="B3" s="56" t="str">
        <f>'SC-New'!$C$7</f>
        <v>New</v>
      </c>
      <c r="C3" s="56" t="str">
        <f>'SC-New'!$C$8</f>
        <v>HPWH</v>
      </c>
      <c r="D3" s="56" t="s">
        <v>546</v>
      </c>
      <c r="E3" s="56" t="str">
        <f>'SC-New'!$A$9</f>
        <v>Water Heating</v>
      </c>
      <c r="F3" s="198">
        <f t="shared" ref="F3:F50" si="1">VLOOKUP($J3,MeasureOutput,14,FALSE)</f>
        <v>0.30033181865349817</v>
      </c>
      <c r="G3" s="58">
        <f>'SC-New'!A38</f>
        <v>1182.3091174891661</v>
      </c>
      <c r="H3" s="58">
        <f>'SC-New'!B38</f>
        <v>61.951432106144111</v>
      </c>
      <c r="I3" s="7" t="str">
        <f>'SC-New'!C38</f>
        <v>Manufactured</v>
      </c>
      <c r="J3" s="7" t="str">
        <f>'SC-New'!D38</f>
        <v>Manufactured Tier1_indor2_hp85</v>
      </c>
      <c r="K3" s="29">
        <f ca="1">'SC-New'!E38</f>
        <v>4.2783246299891276E-5</v>
      </c>
      <c r="L3" s="29">
        <f ca="1">'SC-New'!F38</f>
        <v>1.1075380394454715E-4</v>
      </c>
      <c r="M3" s="29">
        <f ca="1">'SC-New'!G38</f>
        <v>2.5494324773291804E-4</v>
      </c>
      <c r="N3" s="29">
        <f ca="1">'SC-New'!H38</f>
        <v>5.1883747163507319E-4</v>
      </c>
      <c r="O3" s="29">
        <f ca="1">'SC-New'!I38</f>
        <v>8.8676007374742548E-4</v>
      </c>
      <c r="P3" s="29">
        <f ca="1">'SC-New'!J38</f>
        <v>1.4015443752665559E-3</v>
      </c>
      <c r="Q3" s="29">
        <f ca="1">'SC-New'!K38</f>
        <v>2.0814099158530243E-3</v>
      </c>
      <c r="R3" s="29">
        <f ca="1">'SC-New'!L38</f>
        <v>2.8853303752224566E-3</v>
      </c>
      <c r="S3" s="29">
        <f ca="1">'SC-New'!M38</f>
        <v>3.7589805000291607E-3</v>
      </c>
      <c r="T3" s="29">
        <f ca="1">'SC-New'!N38</f>
        <v>4.6197103388541366E-3</v>
      </c>
      <c r="U3" s="29">
        <f ca="1">'SC-New'!O38</f>
        <v>5.3915768011922561E-3</v>
      </c>
      <c r="V3" s="29">
        <f ca="1">'SC-New'!P38</f>
        <v>6.0823733048014752E-3</v>
      </c>
      <c r="W3" s="29">
        <f ca="1">'SC-New'!Q38</f>
        <v>6.6653938449218238E-3</v>
      </c>
      <c r="X3" s="29">
        <f ca="1">'SC-New'!R38</f>
        <v>7.1200165957754245E-3</v>
      </c>
      <c r="Y3" s="29">
        <f ca="1">'SC-New'!S38</f>
        <v>7.4522412090791976E-3</v>
      </c>
      <c r="Z3" s="29">
        <f ca="1">'SC-New'!T38</f>
        <v>7.6792212237610478E-3</v>
      </c>
      <c r="AA3" s="29">
        <f ca="1">'SC-New'!U38</f>
        <v>7.8276593299489317E-3</v>
      </c>
      <c r="AB3" s="29">
        <f ca="1">'SC-New'!V38</f>
        <v>7.926316079932081E-3</v>
      </c>
      <c r="AC3" s="29">
        <f ca="1">'SC-New'!W38</f>
        <v>7.9882692744066217E-3</v>
      </c>
      <c r="AD3" s="29">
        <f ca="1">'SC-New'!X38</f>
        <v>8.0239511848815125E-3</v>
      </c>
      <c r="AE3" s="29">
        <f ca="1">'SC-New'!Y38</f>
        <v>8.8718072197285544E-2</v>
      </c>
      <c r="AF3" s="199">
        <f t="shared" ref="AF3:AF50" si="2">VLOOKUP($J3,MeasureOutput,15,FALSE)</f>
        <v>67.175244856328348</v>
      </c>
      <c r="AG3" s="199">
        <f t="shared" ref="AG3:AG50" si="3">VLOOKUP($J3,MeasureOutput,16,FALSE)</f>
        <v>59.386639881456667</v>
      </c>
      <c r="AH3" s="199">
        <f t="shared" ref="AH3:AH50" si="4">VLOOKUP($J3,MeasureOutput,17,FALSE)</f>
        <v>72.400224933607063</v>
      </c>
      <c r="AI3" s="199">
        <f t="shared" ref="AI3:AI50" si="5">VLOOKUP($J3,MeasureOutput,18,FALSE)</f>
        <v>73.940071263095021</v>
      </c>
      <c r="AJ3" s="199">
        <f t="shared" ref="AJ3:AJ50" si="6">VLOOKUP($J3,MeasureOutput,19,FALSE)</f>
        <v>79.985507400545828</v>
      </c>
      <c r="AK3" s="199">
        <f t="shared" ref="AK3:AK50" si="7">VLOOKUP($J3,MeasureOutput,20,FALSE)</f>
        <v>89.654571991942817</v>
      </c>
      <c r="AL3" s="199">
        <f t="shared" ref="AL3:AL50" si="8">VLOOKUP($J3,MeasureOutput,21,FALSE)</f>
        <v>34.212027120725203</v>
      </c>
      <c r="AM3" s="199">
        <f t="shared" ref="AM3:AM50" si="9">VLOOKUP($J3,MeasureOutput,22,FALSE)</f>
        <v>39.555072152198456</v>
      </c>
      <c r="AN3" s="199">
        <f t="shared" ref="AN3:AN50" si="10">VLOOKUP($J3,MeasureOutput,23,FALSE)</f>
        <v>58.342085308220092</v>
      </c>
      <c r="AO3" s="199">
        <f t="shared" ref="AO3:AO50" si="11">VLOOKUP($J3,MeasureOutput,24,FALSE)</f>
        <v>80.383038487537902</v>
      </c>
      <c r="AP3" s="199">
        <f t="shared" ref="AP3:AP50" si="12">VLOOKUP($J3,MeasureOutput,25,FALSE)</f>
        <v>77.822407976704469</v>
      </c>
      <c r="AQ3" s="199">
        <f t="shared" ref="AQ3:AQ50" si="13">VLOOKUP($J3,MeasureOutput,26,FALSE)</f>
        <v>69.502686122410893</v>
      </c>
      <c r="AR3" s="199"/>
      <c r="AS3" s="199">
        <f t="shared" ref="AS3:AS50" si="14">VLOOKUP($J3,MeasureOutput,28,FALSE)</f>
        <v>30.131672272487638</v>
      </c>
      <c r="AT3" s="199">
        <f t="shared" ref="AT3:AT50" si="15">VLOOKUP($J3,MeasureOutput,29,FALSE)</f>
        <v>24.871498558633323</v>
      </c>
      <c r="AU3" s="199">
        <f t="shared" ref="AU3:AU50" si="16">VLOOKUP($J3,MeasureOutput,30,FALSE)</f>
        <v>26.318671843240619</v>
      </c>
      <c r="AV3" s="199">
        <f t="shared" ref="AV3:AV50" si="17">VLOOKUP($J3,MeasureOutput,31,FALSE)</f>
        <v>33.490865843680425</v>
      </c>
      <c r="AW3" s="199">
        <f t="shared" ref="AW3:AW50" si="18">VLOOKUP($J3,MeasureOutput,32,FALSE)</f>
        <v>40.41643824837967</v>
      </c>
      <c r="AX3" s="199">
        <f t="shared" ref="AX3:AX50" si="19">VLOOKUP($J3,MeasureOutput,33,FALSE)</f>
        <v>36.988788944547771</v>
      </c>
      <c r="AY3" s="199">
        <f t="shared" ref="AY3:AY50" si="20">VLOOKUP($J3,MeasureOutput,34,FALSE)</f>
        <v>28.243625256738991</v>
      </c>
      <c r="AZ3" s="199">
        <f t="shared" ref="AZ3:AZ50" si="21">VLOOKUP($J3,MeasureOutput,35,FALSE)</f>
        <v>22.107002584183082</v>
      </c>
      <c r="BA3" s="199">
        <f t="shared" ref="BA3:BA50" si="22">VLOOKUP($J3,MeasureOutput,36,FALSE)</f>
        <v>33.819926239008552</v>
      </c>
      <c r="BB3" s="199">
        <f t="shared" ref="BB3:BB50" si="23">VLOOKUP($J3,MeasureOutput,37,FALSE)</f>
        <v>32.500292467996658</v>
      </c>
      <c r="BC3" s="199">
        <f t="shared" ref="BC3:BC50" si="24">VLOOKUP($J3,MeasureOutput,38,FALSE)</f>
        <v>40.923422099207606</v>
      </c>
      <c r="BD3" s="199">
        <f t="shared" ref="BD3:BD50" si="25">VLOOKUP($J3,MeasureOutput,39,FALSE)</f>
        <v>30.137335636288501</v>
      </c>
    </row>
    <row r="4" spans="1:56" ht="15">
      <c r="A4" s="56" t="str">
        <f>VLOOKUP(CONCATENATE($C4," - ",$B4),[2]ACHIEV!$B$12:$C$100,2,FALSE)</f>
        <v>LO3Slow</v>
      </c>
      <c r="B4" s="56" t="str">
        <f>'SC-New'!$C$7</f>
        <v>New</v>
      </c>
      <c r="C4" s="56" t="str">
        <f>'SC-New'!$C$8</f>
        <v>HPWH</v>
      </c>
      <c r="D4" s="56" t="s">
        <v>546</v>
      </c>
      <c r="E4" s="56" t="str">
        <f>'SC-New'!$A$9</f>
        <v>Water Heating</v>
      </c>
      <c r="F4" s="198">
        <f t="shared" si="1"/>
        <v>0.29849283256234388</v>
      </c>
      <c r="G4" s="58">
        <f>'SC-New'!A39</f>
        <v>1178.5826717098373</v>
      </c>
      <c r="H4" s="58">
        <f>'SC-New'!B39</f>
        <v>62.140138137376972</v>
      </c>
      <c r="I4" s="7" t="str">
        <f>'SC-New'!C39</f>
        <v>Single Family</v>
      </c>
      <c r="J4" s="7" t="str">
        <f>'SC-New'!D39</f>
        <v>Single Family Tier1_indor2_hp85</v>
      </c>
      <c r="K4" s="29">
        <f ca="1">'SC-New'!E39</f>
        <v>9.4931212711475981E-4</v>
      </c>
      <c r="L4" s="29">
        <f ca="1">'SC-New'!F39</f>
        <v>2.3354466729188388E-3</v>
      </c>
      <c r="M4" s="29">
        <f ca="1">'SC-New'!G39</f>
        <v>4.9194836062886951E-3</v>
      </c>
      <c r="N4" s="29">
        <f ca="1">'SC-New'!H39</f>
        <v>9.340668773085984E-3</v>
      </c>
      <c r="O4" s="29">
        <f ca="1">'SC-New'!I39</f>
        <v>1.6024457512003914E-2</v>
      </c>
      <c r="P4" s="29">
        <f ca="1">'SC-New'!J39</f>
        <v>2.451865726448724E-2</v>
      </c>
      <c r="Q4" s="29">
        <f ca="1">'SC-New'!K39</f>
        <v>3.5280929466801253E-2</v>
      </c>
      <c r="R4" s="29">
        <f ca="1">'SC-New'!L39</f>
        <v>4.8401152143348738E-2</v>
      </c>
      <c r="S4" s="29">
        <f ca="1">'SC-New'!M39</f>
        <v>6.2065591903709708E-2</v>
      </c>
      <c r="T4" s="29">
        <f ca="1">'SC-New'!N39</f>
        <v>7.7583889901807673E-2</v>
      </c>
      <c r="U4" s="29">
        <f ca="1">'SC-New'!O39</f>
        <v>9.1673848133973931E-2</v>
      </c>
      <c r="V4" s="29">
        <f ca="1">'SC-New'!P39</f>
        <v>0.10219930670305177</v>
      </c>
      <c r="W4" s="29">
        <f ca="1">'SC-New'!Q39</f>
        <v>0.1088738221428302</v>
      </c>
      <c r="X4" s="29">
        <f ca="1">'SC-New'!R39</f>
        <v>0.11629107478250836</v>
      </c>
      <c r="Y4" s="29">
        <f ca="1">'SC-New'!S39</f>
        <v>0.12309303886590452</v>
      </c>
      <c r="Z4" s="29">
        <f ca="1">'SC-New'!T39</f>
        <v>0.12636333029623159</v>
      </c>
      <c r="AA4" s="29">
        <f ca="1">'SC-New'!U39</f>
        <v>0.12462965369321866</v>
      </c>
      <c r="AB4" s="29">
        <f ca="1">'SC-New'!V39</f>
        <v>0.12597061035990861</v>
      </c>
      <c r="AC4" s="29">
        <f ca="1">'SC-New'!W39</f>
        <v>0.12723897938373185</v>
      </c>
      <c r="AD4" s="29">
        <f ca="1">'SC-New'!X39</f>
        <v>0.1286598119440884</v>
      </c>
      <c r="AE4" s="29">
        <f ca="1">'SC-New'!Y39</f>
        <v>1.4564130656770145</v>
      </c>
      <c r="AF4" s="199">
        <f t="shared" si="2"/>
        <v>66.763918672128071</v>
      </c>
      <c r="AG4" s="199">
        <f t="shared" si="3"/>
        <v>59.023004735397137</v>
      </c>
      <c r="AH4" s="199">
        <f t="shared" si="4"/>
        <v>71.956905250576881</v>
      </c>
      <c r="AI4" s="199">
        <f t="shared" si="5"/>
        <v>73.513249714074973</v>
      </c>
      <c r="AJ4" s="199">
        <f t="shared" si="6"/>
        <v>79.622803482952122</v>
      </c>
      <c r="AK4" s="199">
        <f t="shared" si="7"/>
        <v>89.249367800785535</v>
      </c>
      <c r="AL4" s="199">
        <f t="shared" si="8"/>
        <v>34.986085772627803</v>
      </c>
      <c r="AM4" s="199">
        <f t="shared" si="9"/>
        <v>40.30003268853428</v>
      </c>
      <c r="AN4" s="199">
        <f t="shared" si="10"/>
        <v>58.382558401603852</v>
      </c>
      <c r="AO4" s="199">
        <f t="shared" si="11"/>
        <v>79.961680405081481</v>
      </c>
      <c r="AP4" s="199">
        <f t="shared" si="12"/>
        <v>77.345887285387334</v>
      </c>
      <c r="AQ4" s="199">
        <f t="shared" si="13"/>
        <v>69.077108594029056</v>
      </c>
      <c r="AR4" s="199"/>
      <c r="AS4" s="199">
        <f t="shared" si="14"/>
        <v>29.947170588780743</v>
      </c>
      <c r="AT4" s="199">
        <f t="shared" si="15"/>
        <v>24.719205870763776</v>
      </c>
      <c r="AU4" s="199">
        <f t="shared" si="16"/>
        <v>26.15751785138465</v>
      </c>
      <c r="AV4" s="199">
        <f t="shared" si="17"/>
        <v>33.292959171860502</v>
      </c>
      <c r="AW4" s="199">
        <f t="shared" si="18"/>
        <v>40.207671939497487</v>
      </c>
      <c r="AX4" s="199">
        <f t="shared" si="19"/>
        <v>36.794508712028552</v>
      </c>
      <c r="AY4" s="199">
        <f t="shared" si="20"/>
        <v>28.385146726810323</v>
      </c>
      <c r="AZ4" s="199">
        <f t="shared" si="21"/>
        <v>22.186175562671423</v>
      </c>
      <c r="BA4" s="199">
        <f t="shared" si="22"/>
        <v>33.760258131138208</v>
      </c>
      <c r="BB4" s="199">
        <f t="shared" si="23"/>
        <v>32.323814499134876</v>
      </c>
      <c r="BC4" s="199">
        <f t="shared" si="24"/>
        <v>40.672840577808088</v>
      </c>
      <c r="BD4" s="199">
        <f t="shared" si="25"/>
        <v>29.952799274779878</v>
      </c>
    </row>
    <row r="5" spans="1:56" ht="15">
      <c r="A5" s="56" t="str">
        <f>VLOOKUP(CONCATENATE($C5," - ",$B5),[2]ACHIEV!$B$12:$C$100,2,FALSE)</f>
        <v>LO3Slow</v>
      </c>
      <c r="B5" s="56" t="str">
        <f>'SC-New'!$C$7</f>
        <v>New</v>
      </c>
      <c r="C5" s="56" t="str">
        <f>'SC-New'!$C$8</f>
        <v>HPWH</v>
      </c>
      <c r="D5" s="56" t="s">
        <v>546</v>
      </c>
      <c r="E5" s="56" t="str">
        <f>'SC-New'!$A$9</f>
        <v>Water Heating</v>
      </c>
      <c r="F5" s="198">
        <f t="shared" si="1"/>
        <v>0.24957019939213321</v>
      </c>
      <c r="G5" s="58">
        <f>'SC-New'!A40</f>
        <v>1121.4904168963346</v>
      </c>
      <c r="H5" s="58">
        <f>'SC-New'!B40</f>
        <v>62.671853732153288</v>
      </c>
      <c r="I5" s="7" t="str">
        <f>'SC-New'!C40</f>
        <v>Single Family</v>
      </c>
      <c r="J5" s="7" t="str">
        <f>'SC-New'!D40</f>
        <v>Single Family Tier1_buffered</v>
      </c>
      <c r="K5" s="29">
        <f ca="1">'SC-New'!E40</f>
        <v>5.7062400186098641E-3</v>
      </c>
      <c r="L5" s="29">
        <f ca="1">'SC-New'!F40</f>
        <v>1.4038185003326849E-2</v>
      </c>
      <c r="M5" s="29">
        <f ca="1">'SC-New'!G40</f>
        <v>2.9570626375982442E-2</v>
      </c>
      <c r="N5" s="29">
        <f ca="1">'SC-New'!H40</f>
        <v>5.6146020293196389E-2</v>
      </c>
      <c r="O5" s="29">
        <f ca="1">'SC-New'!I40</f>
        <v>9.6321745103395556E-2</v>
      </c>
      <c r="P5" s="29">
        <f ca="1">'SC-New'!J40</f>
        <v>0.14737970714692367</v>
      </c>
      <c r="Q5" s="29">
        <f ca="1">'SC-New'!K40</f>
        <v>0.21207087307426339</v>
      </c>
      <c r="R5" s="29">
        <f ca="1">'SC-New'!L40</f>
        <v>0.29093549257252183</v>
      </c>
      <c r="S5" s="29">
        <f ca="1">'SC-New'!M40</f>
        <v>0.37307135786420126</v>
      </c>
      <c r="T5" s="29">
        <f ca="1">'SC-New'!N40</f>
        <v>0.4663506182130529</v>
      </c>
      <c r="U5" s="29">
        <f ca="1">'SC-New'!O40</f>
        <v>0.55104424134129637</v>
      </c>
      <c r="V5" s="29">
        <f ca="1">'SC-New'!P40</f>
        <v>0.61431193927288663</v>
      </c>
      <c r="W5" s="29">
        <f ca="1">'SC-New'!Q40</f>
        <v>0.65443192301632491</v>
      </c>
      <c r="X5" s="29">
        <f ca="1">'SC-New'!R40</f>
        <v>0.69901644124986739</v>
      </c>
      <c r="Y5" s="29">
        <f ca="1">'SC-New'!S40</f>
        <v>0.7399025086972395</v>
      </c>
      <c r="Z5" s="29">
        <f ca="1">'SC-New'!T40</f>
        <v>0.75955997150556331</v>
      </c>
      <c r="AA5" s="29">
        <f ca="1">'SC-New'!U40</f>
        <v>0.74913897873735003</v>
      </c>
      <c r="AB5" s="29">
        <f ca="1">'SC-New'!V40</f>
        <v>0.75719936306841762</v>
      </c>
      <c r="AC5" s="29">
        <f ca="1">'SC-New'!W40</f>
        <v>0.7648234288265392</v>
      </c>
      <c r="AD5" s="29">
        <f ca="1">'SC-New'!X40</f>
        <v>0.77336394082894222</v>
      </c>
      <c r="AE5" s="29">
        <f ca="1">'SC-New'!Y40</f>
        <v>8.7543836022099022</v>
      </c>
      <c r="AF5" s="199">
        <f t="shared" si="2"/>
        <v>55.821388856317583</v>
      </c>
      <c r="AG5" s="199">
        <f t="shared" si="3"/>
        <v>49.349201663784726</v>
      </c>
      <c r="AH5" s="199">
        <f t="shared" si="4"/>
        <v>60.16325038078714</v>
      </c>
      <c r="AI5" s="199">
        <f t="shared" si="5"/>
        <v>62.468776687174461</v>
      </c>
      <c r="AJ5" s="199">
        <f t="shared" si="6"/>
        <v>71.494391757248707</v>
      </c>
      <c r="AK5" s="199">
        <f t="shared" si="7"/>
        <v>80.190238777804836</v>
      </c>
      <c r="AL5" s="199">
        <f t="shared" si="8"/>
        <v>67.349029613039406</v>
      </c>
      <c r="AM5" s="199">
        <f t="shared" si="9"/>
        <v>71.932180278638</v>
      </c>
      <c r="AN5" s="199">
        <f t="shared" si="10"/>
        <v>64.218906548729947</v>
      </c>
      <c r="AO5" s="199">
        <f t="shared" si="11"/>
        <v>69.600073570856154</v>
      </c>
      <c r="AP5" s="199">
        <f t="shared" si="12"/>
        <v>64.668984313331691</v>
      </c>
      <c r="AQ5" s="199">
        <f t="shared" si="13"/>
        <v>57.755449756035766</v>
      </c>
      <c r="AR5" s="199"/>
      <c r="AS5" s="199">
        <f t="shared" si="14"/>
        <v>25.038863847959643</v>
      </c>
      <c r="AT5" s="199">
        <f t="shared" si="15"/>
        <v>20.667756462979366</v>
      </c>
      <c r="AU5" s="199">
        <f t="shared" si="16"/>
        <v>21.870330602241363</v>
      </c>
      <c r="AV5" s="199">
        <f t="shared" si="17"/>
        <v>28.113773539506127</v>
      </c>
      <c r="AW5" s="199">
        <f t="shared" si="18"/>
        <v>35.117125600744593</v>
      </c>
      <c r="AX5" s="199">
        <f t="shared" si="19"/>
        <v>32.011522589806923</v>
      </c>
      <c r="AY5" s="199">
        <f t="shared" si="20"/>
        <v>35.913392084015449</v>
      </c>
      <c r="AZ5" s="199">
        <f t="shared" si="21"/>
        <v>26.859913922098357</v>
      </c>
      <c r="BA5" s="199">
        <f t="shared" si="22"/>
        <v>33.937129612246721</v>
      </c>
      <c r="BB5" s="199">
        <f t="shared" si="23"/>
        <v>27.898557937161815</v>
      </c>
      <c r="BC5" s="199">
        <f t="shared" si="24"/>
        <v>34.006608357597862</v>
      </c>
      <c r="BD5" s="199">
        <f t="shared" si="25"/>
        <v>25.043570136227579</v>
      </c>
    </row>
    <row r="6" spans="1:56" ht="15">
      <c r="A6" s="56" t="str">
        <f>VLOOKUP(CONCATENATE($C6," - ",$B6),[2]ACHIEV!$B$12:$C$100,2,FALSE)</f>
        <v>LO3Slow</v>
      </c>
      <c r="B6" s="56" t="str">
        <f>'SC-New'!$C$7</f>
        <v>New</v>
      </c>
      <c r="C6" s="56" t="str">
        <f>'SC-NR'!$C$8</f>
        <v>HPWH</v>
      </c>
      <c r="D6" s="56" t="s">
        <v>546</v>
      </c>
      <c r="E6" s="56" t="str">
        <f>'SC-New'!$A$9</f>
        <v>Water Heating</v>
      </c>
      <c r="F6" s="198">
        <f t="shared" si="1"/>
        <v>0.29239115223298567</v>
      </c>
      <c r="G6" s="58">
        <f>'SC-New'!A41</f>
        <v>1367.6145062653491</v>
      </c>
      <c r="H6" s="58">
        <f>'SC-New'!B41</f>
        <v>68.411966327303134</v>
      </c>
      <c r="I6" s="7" t="str">
        <f>'SC-New'!C41</f>
        <v>Manufactured</v>
      </c>
      <c r="J6" s="7" t="str">
        <f>'SC-New'!D41</f>
        <v>Manufactured Tier1_indor2_gfac</v>
      </c>
      <c r="K6" s="29">
        <f ca="1">'SC-New'!E41</f>
        <v>1.0814512745396524E-5</v>
      </c>
      <c r="L6" s="29">
        <f ca="1">'SC-New'!F41</f>
        <v>2.7995734965125756E-5</v>
      </c>
      <c r="M6" s="29">
        <f ca="1">'SC-New'!G41</f>
        <v>6.444314633430312E-5</v>
      </c>
      <c r="N6" s="29">
        <f ca="1">'SC-New'!H41</f>
        <v>1.3114887099628683E-4</v>
      </c>
      <c r="O6" s="29">
        <f ca="1">'SC-New'!I41</f>
        <v>2.2415031464488624E-4</v>
      </c>
      <c r="P6" s="29">
        <f ca="1">'SC-New'!J41</f>
        <v>3.5427464768136342E-4</v>
      </c>
      <c r="Q6" s="29">
        <f ca="1">'SC-New'!K41</f>
        <v>5.2612730473060049E-4</v>
      </c>
      <c r="R6" s="29">
        <f ca="1">'SC-New'!L41</f>
        <v>7.2933787910344427E-4</v>
      </c>
      <c r="S6" s="29">
        <f ca="1">'SC-New'!M41</f>
        <v>9.5017433324982783E-4</v>
      </c>
      <c r="T6" s="29">
        <f ca="1">'SC-New'!N41</f>
        <v>1.1677448688531405E-3</v>
      </c>
      <c r="U6" s="29">
        <f ca="1">'SC-New'!O41</f>
        <v>1.3628530108624798E-3</v>
      </c>
      <c r="V6" s="29">
        <f ca="1">'SC-New'!P41</f>
        <v>1.5374687363825003E-3</v>
      </c>
      <c r="W6" s="29">
        <f ca="1">'SC-New'!Q41</f>
        <v>1.6848414490037841E-3</v>
      </c>
      <c r="X6" s="29">
        <f ca="1">'SC-New'!R41</f>
        <v>1.7997584774824289E-3</v>
      </c>
      <c r="Y6" s="29">
        <f ca="1">'SC-New'!S41</f>
        <v>1.8837363806486322E-3</v>
      </c>
      <c r="Z6" s="29">
        <f ca="1">'SC-New'!T41</f>
        <v>1.9411111353486608E-3</v>
      </c>
      <c r="AA6" s="29">
        <f ca="1">'SC-New'!U41</f>
        <v>1.9786325001375561E-3</v>
      </c>
      <c r="AB6" s="29">
        <f ca="1">'SC-New'!V41</f>
        <v>2.0035704086037239E-3</v>
      </c>
      <c r="AC6" s="29">
        <f ca="1">'SC-New'!W41</f>
        <v>2.0192305949899222E-3</v>
      </c>
      <c r="AD6" s="29">
        <f ca="1">'SC-New'!X41</f>
        <v>2.0282500712799157E-3</v>
      </c>
      <c r="AE6" s="29">
        <f ca="1">'SC-New'!Y41</f>
        <v>2.2425664378043979E-2</v>
      </c>
      <c r="AF6" s="199">
        <f t="shared" si="2"/>
        <v>65.483673404918065</v>
      </c>
      <c r="AG6" s="199">
        <f t="shared" si="3"/>
        <v>58.152451304194301</v>
      </c>
      <c r="AH6" s="199">
        <f t="shared" si="4"/>
        <v>71.281827066511369</v>
      </c>
      <c r="AI6" s="199">
        <f t="shared" si="5"/>
        <v>74.52319390997215</v>
      </c>
      <c r="AJ6" s="199">
        <f t="shared" si="6"/>
        <v>86.867530884106714</v>
      </c>
      <c r="AK6" s="199">
        <f t="shared" si="7"/>
        <v>97.756118862523337</v>
      </c>
      <c r="AL6" s="199">
        <f t="shared" si="8"/>
        <v>90.318365147601426</v>
      </c>
      <c r="AM6" s="199">
        <f t="shared" si="9"/>
        <v>95.871903437791957</v>
      </c>
      <c r="AN6" s="199">
        <f t="shared" si="10"/>
        <v>80.839270557877711</v>
      </c>
      <c r="AO6" s="199">
        <f t="shared" si="11"/>
        <v>83.737587238293216</v>
      </c>
      <c r="AP6" s="199">
        <f t="shared" si="12"/>
        <v>76.733539827225798</v>
      </c>
      <c r="AQ6" s="199">
        <f t="shared" si="13"/>
        <v>67.531338588891288</v>
      </c>
      <c r="AR6" s="199"/>
      <c r="AS6" s="199">
        <f t="shared" si="14"/>
        <v>29.056457791152773</v>
      </c>
      <c r="AT6" s="199">
        <f t="shared" si="15"/>
        <v>24.06596450056475</v>
      </c>
      <c r="AU6" s="199">
        <f t="shared" si="16"/>
        <v>25.694684555980427</v>
      </c>
      <c r="AV6" s="199">
        <f t="shared" si="17"/>
        <v>33.36456735292132</v>
      </c>
      <c r="AW6" s="199">
        <f t="shared" si="18"/>
        <v>42.415403970241641</v>
      </c>
      <c r="AX6" s="199">
        <f t="shared" si="19"/>
        <v>38.774713833977607</v>
      </c>
      <c r="AY6" s="199">
        <f t="shared" si="20"/>
        <v>46.176075257210272</v>
      </c>
      <c r="AZ6" s="199">
        <f t="shared" si="21"/>
        <v>34.341388675215917</v>
      </c>
      <c r="BA6" s="199">
        <f t="shared" si="22"/>
        <v>42.117992884977056</v>
      </c>
      <c r="BB6" s="199">
        <f t="shared" si="23"/>
        <v>33.431010043596871</v>
      </c>
      <c r="BC6" s="199">
        <f t="shared" si="24"/>
        <v>40.211018392542421</v>
      </c>
      <c r="BD6" s="199">
        <f t="shared" si="25"/>
        <v>28.868428777060434</v>
      </c>
    </row>
    <row r="7" spans="1:56" ht="15">
      <c r="A7" s="56" t="str">
        <f>VLOOKUP(CONCATENATE($C7," - ",$B7),[2]ACHIEV!$B$12:$C$100,2,FALSE)</f>
        <v>LO3Slow</v>
      </c>
      <c r="B7" s="56" t="str">
        <f>'SC-New'!$C$7</f>
        <v>New</v>
      </c>
      <c r="C7" s="56" t="str">
        <f>'SC-NR'!$C$8</f>
        <v>HPWH</v>
      </c>
      <c r="D7" s="56" t="s">
        <v>546</v>
      </c>
      <c r="E7" s="56" t="str">
        <f>'SC-New'!$A$9</f>
        <v>Water Heating</v>
      </c>
      <c r="F7" s="198">
        <f t="shared" si="1"/>
        <v>0.29652353065166898</v>
      </c>
      <c r="G7" s="58">
        <f>'SC-New'!A42</f>
        <v>1351.2543502462204</v>
      </c>
      <c r="H7" s="58">
        <f>'SC-New'!B42</f>
        <v>68.882019400713702</v>
      </c>
      <c r="I7" s="7" t="str">
        <f>'SC-New'!C42</f>
        <v>Manufactured</v>
      </c>
      <c r="J7" s="7" t="str">
        <f>'SC-New'!D42</f>
        <v>Manufactured Tier1_indor2_gfnc</v>
      </c>
      <c r="K7" s="29">
        <f ca="1">'SC-New'!E42</f>
        <v>7.8357719755435491E-5</v>
      </c>
      <c r="L7" s="29">
        <f ca="1">'SC-New'!F42</f>
        <v>2.0284612043002743E-4</v>
      </c>
      <c r="M7" s="29">
        <f ca="1">'SC-New'!G42</f>
        <v>4.6692977478540054E-4</v>
      </c>
      <c r="N7" s="29">
        <f ca="1">'SC-New'!H42</f>
        <v>9.502533051378827E-4</v>
      </c>
      <c r="O7" s="29">
        <f ca="1">'SC-New'!I42</f>
        <v>1.6241053065949008E-3</v>
      </c>
      <c r="P7" s="29">
        <f ca="1">'SC-New'!J42</f>
        <v>2.5669352113241303E-3</v>
      </c>
      <c r="Q7" s="29">
        <f ca="1">'SC-New'!K42</f>
        <v>3.8121121931556255E-3</v>
      </c>
      <c r="R7" s="29">
        <f ca="1">'SC-New'!L42</f>
        <v>5.2844963507152395E-3</v>
      </c>
      <c r="S7" s="29">
        <f ca="1">'SC-New'!M42</f>
        <v>6.8845907232659024E-3</v>
      </c>
      <c r="T7" s="29">
        <f ca="1">'SC-New'!N42</f>
        <v>8.4610215303867736E-3</v>
      </c>
      <c r="U7" s="29">
        <f ca="1">'SC-New'!O42</f>
        <v>9.8746986394252136E-3</v>
      </c>
      <c r="V7" s="29">
        <f ca="1">'SC-New'!P42</f>
        <v>1.113989573219429E-2</v>
      </c>
      <c r="W7" s="29">
        <f ca="1">'SC-New'!Q42</f>
        <v>1.2207700633537856E-2</v>
      </c>
      <c r="X7" s="29">
        <f ca="1">'SC-New'!R42</f>
        <v>1.3040344371138528E-2</v>
      </c>
      <c r="Y7" s="29">
        <f ca="1">'SC-New'!S42</f>
        <v>1.3648815335745558E-2</v>
      </c>
      <c r="Z7" s="29">
        <f ca="1">'SC-New'!T42</f>
        <v>1.40645303157603E-2</v>
      </c>
      <c r="AA7" s="29">
        <f ca="1">'SC-New'!U42</f>
        <v>1.4336395415574556E-2</v>
      </c>
      <c r="AB7" s="29">
        <f ca="1">'SC-New'!V42</f>
        <v>1.4517085723948404E-2</v>
      </c>
      <c r="AC7" s="29">
        <f ca="1">'SC-New'!W42</f>
        <v>1.4630553295262699E-2</v>
      </c>
      <c r="AD7" s="29">
        <f ca="1">'SC-New'!X42</f>
        <v>1.4695904884567819E-2</v>
      </c>
      <c r="AE7" s="29">
        <f ca="1">'SC-New'!Y42</f>
        <v>0.16248757258270655</v>
      </c>
      <c r="AF7" s="199">
        <f t="shared" si="2"/>
        <v>66.400845982660599</v>
      </c>
      <c r="AG7" s="199">
        <f t="shared" si="3"/>
        <v>58.941283697638553</v>
      </c>
      <c r="AH7" s="199">
        <f t="shared" si="4"/>
        <v>72.210995173130371</v>
      </c>
      <c r="AI7" s="199">
        <f t="shared" si="5"/>
        <v>75.220628219844897</v>
      </c>
      <c r="AJ7" s="199">
        <f t="shared" si="6"/>
        <v>86.689962608799831</v>
      </c>
      <c r="AK7" s="199">
        <f t="shared" si="7"/>
        <v>97.518936992931856</v>
      </c>
      <c r="AL7" s="199">
        <f t="shared" si="8"/>
        <v>81.959150135638467</v>
      </c>
      <c r="AM7" s="199">
        <f t="shared" si="9"/>
        <v>87.541761896431936</v>
      </c>
      <c r="AN7" s="199">
        <f t="shared" si="10"/>
        <v>77.98842359648178</v>
      </c>
      <c r="AO7" s="199">
        <f t="shared" si="11"/>
        <v>84.091954725047529</v>
      </c>
      <c r="AP7" s="199">
        <f t="shared" si="12"/>
        <v>77.722755507409403</v>
      </c>
      <c r="AQ7" s="199">
        <f t="shared" si="13"/>
        <v>68.498912219004268</v>
      </c>
      <c r="AR7" s="199"/>
      <c r="AS7" s="199">
        <f t="shared" si="14"/>
        <v>29.494505665110928</v>
      </c>
      <c r="AT7" s="199">
        <f t="shared" si="15"/>
        <v>24.420638175241429</v>
      </c>
      <c r="AU7" s="199">
        <f t="shared" si="16"/>
        <v>26.050761303828779</v>
      </c>
      <c r="AV7" s="199">
        <f t="shared" si="17"/>
        <v>33.732104190098894</v>
      </c>
      <c r="AW7" s="199">
        <f t="shared" si="18"/>
        <v>42.554615501169124</v>
      </c>
      <c r="AX7" s="199">
        <f t="shared" si="19"/>
        <v>38.918970584062144</v>
      </c>
      <c r="AY7" s="199">
        <f t="shared" si="20"/>
        <v>43.703530782840417</v>
      </c>
      <c r="AZ7" s="199">
        <f t="shared" si="21"/>
        <v>32.687241183415644</v>
      </c>
      <c r="BA7" s="199">
        <f t="shared" si="22"/>
        <v>41.205366138702786</v>
      </c>
      <c r="BB7" s="199">
        <f t="shared" si="23"/>
        <v>33.635176959444543</v>
      </c>
      <c r="BC7" s="199">
        <f t="shared" si="24"/>
        <v>40.742977114193629</v>
      </c>
      <c r="BD7" s="199">
        <f t="shared" si="25"/>
        <v>29.322851893092185</v>
      </c>
    </row>
    <row r="8" spans="1:56" ht="15">
      <c r="A8" s="56" t="str">
        <f>VLOOKUP(CONCATENATE($C8," - ",$B8),[2]ACHIEV!$B$12:$C$100,2,FALSE)</f>
        <v>LO3Slow</v>
      </c>
      <c r="B8" s="56" t="str">
        <f>'SC-New'!$C$7</f>
        <v>New</v>
      </c>
      <c r="C8" s="56" t="str">
        <f>'SC-NR'!$C$8</f>
        <v>HPWH</v>
      </c>
      <c r="D8" s="56" t="s">
        <v>546</v>
      </c>
      <c r="E8" s="56" t="str">
        <f>'SC-New'!$A$9</f>
        <v>Water Heating</v>
      </c>
      <c r="F8" s="198">
        <f t="shared" si="1"/>
        <v>0.29047592546166073</v>
      </c>
      <c r="G8" s="58">
        <f>'SC-New'!A43</f>
        <v>1358.6845229206428</v>
      </c>
      <c r="H8" s="58">
        <f>'SC-New'!B43</f>
        <v>69.179824093007909</v>
      </c>
      <c r="I8" s="7" t="str">
        <f>'SC-New'!C43</f>
        <v>Single Family</v>
      </c>
      <c r="J8" s="7" t="str">
        <f>'SC-New'!D43</f>
        <v>Single Family Tier1_indor2_gfac</v>
      </c>
      <c r="K8" s="29">
        <f ca="1">'SC-New'!E43</f>
        <v>1.6300787502111964E-3</v>
      </c>
      <c r="L8" s="29">
        <f ca="1">'SC-New'!F43</f>
        <v>4.0102321302340448E-3</v>
      </c>
      <c r="M8" s="29">
        <f ca="1">'SC-New'!G43</f>
        <v>8.4473224976026537E-3</v>
      </c>
      <c r="N8" s="29">
        <f ca="1">'SC-New'!H43</f>
        <v>1.6039008925383832E-2</v>
      </c>
      <c r="O8" s="29">
        <f ca="1">'SC-New'!I43</f>
        <v>2.751584745195405E-2</v>
      </c>
      <c r="P8" s="29">
        <f ca="1">'SC-New'!J43</f>
        <v>4.2101371139147442E-2</v>
      </c>
      <c r="Q8" s="29">
        <f ca="1">'SC-New'!K43</f>
        <v>6.0581437620864209E-2</v>
      </c>
      <c r="R8" s="29">
        <f ca="1">'SC-New'!L43</f>
        <v>8.3110377863185259E-2</v>
      </c>
      <c r="S8" s="29">
        <f ca="1">'SC-New'!M43</f>
        <v>0.10657380180005524</v>
      </c>
      <c r="T8" s="29">
        <f ca="1">'SC-New'!N43</f>
        <v>0.13322051480795347</v>
      </c>
      <c r="U8" s="29">
        <f ca="1">'SC-New'!O43</f>
        <v>0.15741460319005735</v>
      </c>
      <c r="V8" s="29">
        <f ca="1">'SC-New'!P43</f>
        <v>0.17548803326603069</v>
      </c>
      <c r="W8" s="29">
        <f ca="1">'SC-New'!Q43</f>
        <v>0.18694894846513052</v>
      </c>
      <c r="X8" s="29">
        <f ca="1">'SC-New'!R43</f>
        <v>0.19968522936531713</v>
      </c>
      <c r="Y8" s="29">
        <f ca="1">'SC-New'!S43</f>
        <v>0.21136498863031544</v>
      </c>
      <c r="Z8" s="29">
        <f ca="1">'SC-New'!T43</f>
        <v>0.21698045736321359</v>
      </c>
      <c r="AA8" s="29">
        <f ca="1">'SC-New'!U43</f>
        <v>0.21400353406307743</v>
      </c>
      <c r="AB8" s="29">
        <f ca="1">'SC-New'!V43</f>
        <v>0.21630611179793571</v>
      </c>
      <c r="AC8" s="29">
        <f ca="1">'SC-New'!W43</f>
        <v>0.21848404815217173</v>
      </c>
      <c r="AD8" s="29">
        <f ca="1">'SC-New'!X43</f>
        <v>0.22092378203746882</v>
      </c>
      <c r="AE8" s="29">
        <f ca="1">'SC-New'!Y43</f>
        <v>2.5008297293173101</v>
      </c>
      <c r="AF8" s="199">
        <f t="shared" si="2"/>
        <v>65.056103127780077</v>
      </c>
      <c r="AG8" s="199">
        <f t="shared" si="3"/>
        <v>57.776955153366963</v>
      </c>
      <c r="AH8" s="199">
        <f t="shared" si="4"/>
        <v>70.827742794532142</v>
      </c>
      <c r="AI8" s="199">
        <f t="shared" si="5"/>
        <v>74.0504061780901</v>
      </c>
      <c r="AJ8" s="199">
        <f t="shared" si="6"/>
        <v>86.318310029747934</v>
      </c>
      <c r="AK8" s="199">
        <f t="shared" si="7"/>
        <v>97.142887880019089</v>
      </c>
      <c r="AL8" s="199">
        <f t="shared" si="8"/>
        <v>89.676294159224483</v>
      </c>
      <c r="AM8" s="199">
        <f t="shared" si="9"/>
        <v>95.195559104583481</v>
      </c>
      <c r="AN8" s="199">
        <f t="shared" si="10"/>
        <v>80.305248775319441</v>
      </c>
      <c r="AO8" s="199">
        <f t="shared" si="11"/>
        <v>83.207591327152542</v>
      </c>
      <c r="AP8" s="199">
        <f t="shared" si="12"/>
        <v>76.246532308944722</v>
      </c>
      <c r="AQ8" s="199">
        <f t="shared" si="13"/>
        <v>67.086838027688501</v>
      </c>
      <c r="AR8" s="199"/>
      <c r="AS8" s="199">
        <f t="shared" si="14"/>
        <v>28.861641938535993</v>
      </c>
      <c r="AT8" s="199">
        <f t="shared" si="15"/>
        <v>23.905942572728694</v>
      </c>
      <c r="AU8" s="199">
        <f t="shared" si="16"/>
        <v>25.527537083128369</v>
      </c>
      <c r="AV8" s="199">
        <f t="shared" si="17"/>
        <v>33.15119801703014</v>
      </c>
      <c r="AW8" s="199">
        <f t="shared" si="18"/>
        <v>42.148863966007013</v>
      </c>
      <c r="AX8" s="199">
        <f t="shared" si="19"/>
        <v>38.533534984531322</v>
      </c>
      <c r="AY8" s="199">
        <f t="shared" si="20"/>
        <v>45.86475387955668</v>
      </c>
      <c r="AZ8" s="199">
        <f t="shared" si="21"/>
        <v>34.11161429371019</v>
      </c>
      <c r="BA8" s="199">
        <f t="shared" si="22"/>
        <v>41.844979177011965</v>
      </c>
      <c r="BB8" s="199">
        <f t="shared" si="23"/>
        <v>33.218678586886661</v>
      </c>
      <c r="BC8" s="199">
        <f t="shared" si="24"/>
        <v>39.953584556289556</v>
      </c>
      <c r="BD8" s="199">
        <f t="shared" si="25"/>
        <v>28.671724998776305</v>
      </c>
    </row>
    <row r="9" spans="1:56" ht="15">
      <c r="A9" s="56" t="str">
        <f>VLOOKUP(CONCATENATE($C9," - ",$B9),[2]ACHIEV!$B$12:$C$100,2,FALSE)</f>
        <v>LO3Slow</v>
      </c>
      <c r="B9" s="56" t="str">
        <f>'SC-New'!$C$7</f>
        <v>New</v>
      </c>
      <c r="C9" s="56" t="str">
        <f>'SC-NR'!$C$8</f>
        <v>HPWH</v>
      </c>
      <c r="D9" s="56" t="s">
        <v>546</v>
      </c>
      <c r="E9" s="56" t="str">
        <f>'SC-New'!$A$9</f>
        <v>Water Heating</v>
      </c>
      <c r="F9" s="198">
        <f t="shared" si="1"/>
        <v>0.29447890126290738</v>
      </c>
      <c r="G9" s="58">
        <f>'SC-New'!A44</f>
        <v>1342.1286397245815</v>
      </c>
      <c r="H9" s="58">
        <f>'SC-New'!B44</f>
        <v>69.681389746023285</v>
      </c>
      <c r="I9" s="7" t="str">
        <f>'SC-New'!C44</f>
        <v>Single Family</v>
      </c>
      <c r="J9" s="7" t="str">
        <f>'SC-New'!D44</f>
        <v>Single Family Tier1_indor2_gfnc</v>
      </c>
      <c r="K9" s="29">
        <f ca="1">'SC-New'!E44</f>
        <v>2.627194307647511E-3</v>
      </c>
      <c r="L9" s="29">
        <f ca="1">'SC-New'!F44</f>
        <v>6.4632822331626696E-3</v>
      </c>
      <c r="M9" s="29">
        <f ca="1">'SC-New'!G44</f>
        <v>1.3614530940722413E-2</v>
      </c>
      <c r="N9" s="29">
        <f ca="1">'SC-New'!H44</f>
        <v>2.5850035124754922E-2</v>
      </c>
      <c r="O9" s="29">
        <f ca="1">'SC-New'!I44</f>
        <v>4.4347230332586675E-2</v>
      </c>
      <c r="P9" s="29">
        <f ca="1">'SC-New'!J44</f>
        <v>6.7854686521490265E-2</v>
      </c>
      <c r="Q9" s="29">
        <f ca="1">'SC-New'!K44</f>
        <v>9.7638968697687914E-2</v>
      </c>
      <c r="R9" s="29">
        <f ca="1">'SC-New'!L44</f>
        <v>0.13394881173704309</v>
      </c>
      <c r="S9" s="29">
        <f ca="1">'SC-New'!M44</f>
        <v>0.17176476007504732</v>
      </c>
      <c r="T9" s="29">
        <f ca="1">'SC-New'!N44</f>
        <v>0.21471120835111807</v>
      </c>
      <c r="U9" s="29">
        <f ca="1">'SC-New'!O44</f>
        <v>0.25370476695554051</v>
      </c>
      <c r="V9" s="29">
        <f ca="1">'SC-New'!P44</f>
        <v>0.28283367413816018</v>
      </c>
      <c r="W9" s="29">
        <f ca="1">'SC-New'!Q44</f>
        <v>0.30130520575441172</v>
      </c>
      <c r="X9" s="29">
        <f ca="1">'SC-New'!R44</f>
        <v>0.32183224144347566</v>
      </c>
      <c r="Y9" s="29">
        <f ca="1">'SC-New'!S44</f>
        <v>0.34065648355553396</v>
      </c>
      <c r="Z9" s="29">
        <f ca="1">'SC-New'!T44</f>
        <v>0.3497069220622202</v>
      </c>
      <c r="AA9" s="29">
        <f ca="1">'SC-New'!U44</f>
        <v>0.34490902137956453</v>
      </c>
      <c r="AB9" s="29">
        <f ca="1">'SC-New'!V44</f>
        <v>0.34862008080976181</v>
      </c>
      <c r="AC9" s="29">
        <f ca="1">'SC-New'!W44</f>
        <v>0.35213025600315423</v>
      </c>
      <c r="AD9" s="29">
        <f ca="1">'SC-New'!X44</f>
        <v>0.35606236969692318</v>
      </c>
      <c r="AE9" s="29">
        <f ca="1">'SC-New'!Y44</f>
        <v>4.0305817301200069</v>
      </c>
      <c r="AF9" s="199">
        <f t="shared" si="2"/>
        <v>65.943780090889817</v>
      </c>
      <c r="AG9" s="199">
        <f t="shared" si="3"/>
        <v>58.538005129261556</v>
      </c>
      <c r="AH9" s="199">
        <f t="shared" si="4"/>
        <v>71.720517282066112</v>
      </c>
      <c r="AI9" s="199">
        <f t="shared" si="5"/>
        <v>74.712158153038672</v>
      </c>
      <c r="AJ9" s="199">
        <f t="shared" si="6"/>
        <v>86.110020791850786</v>
      </c>
      <c r="AK9" s="199">
        <f t="shared" si="7"/>
        <v>96.869401261164072</v>
      </c>
      <c r="AL9" s="199">
        <f t="shared" si="8"/>
        <v>81.413814132464239</v>
      </c>
      <c r="AM9" s="199">
        <f t="shared" si="9"/>
        <v>86.959332718700736</v>
      </c>
      <c r="AN9" s="199">
        <f t="shared" si="10"/>
        <v>77.467897130375164</v>
      </c>
      <c r="AO9" s="199">
        <f t="shared" si="11"/>
        <v>83.526381179724609</v>
      </c>
      <c r="AP9" s="199">
        <f t="shared" si="12"/>
        <v>77.195888722411439</v>
      </c>
      <c r="AQ9" s="199">
        <f t="shared" si="13"/>
        <v>68.025338890451181</v>
      </c>
      <c r="AR9" s="199"/>
      <c r="AS9" s="199">
        <f t="shared" si="14"/>
        <v>29.288526718230589</v>
      </c>
      <c r="AT9" s="199">
        <f t="shared" si="15"/>
        <v>24.250866406773813</v>
      </c>
      <c r="AU9" s="199">
        <f t="shared" si="16"/>
        <v>25.871804534774203</v>
      </c>
      <c r="AV9" s="199">
        <f t="shared" si="17"/>
        <v>33.502870014147675</v>
      </c>
      <c r="AW9" s="199">
        <f t="shared" si="18"/>
        <v>42.26966810644754</v>
      </c>
      <c r="AX9" s="199">
        <f t="shared" si="19"/>
        <v>38.659645925541625</v>
      </c>
      <c r="AY9" s="199">
        <f t="shared" si="20"/>
        <v>43.412732220357647</v>
      </c>
      <c r="AZ9" s="199">
        <f t="shared" si="21"/>
        <v>32.469753987115929</v>
      </c>
      <c r="BA9" s="199">
        <f t="shared" si="22"/>
        <v>40.930260815626625</v>
      </c>
      <c r="BB9" s="199">
        <f t="shared" si="23"/>
        <v>33.408232230799726</v>
      </c>
      <c r="BC9" s="199">
        <f t="shared" si="24"/>
        <v>40.465496373343314</v>
      </c>
      <c r="BD9" s="199">
        <f t="shared" si="25"/>
        <v>29.116246909024039</v>
      </c>
    </row>
    <row r="10" spans="1:56" ht="15">
      <c r="A10" s="56" t="str">
        <f>VLOOKUP(CONCATENATE($C10," - ",$B10),[2]ACHIEV!$B$12:$C$100,2,FALSE)</f>
        <v>LO3Slow</v>
      </c>
      <c r="B10" s="56" t="str">
        <f>'SC-New'!$C$7</f>
        <v>New</v>
      </c>
      <c r="C10" s="56" t="str">
        <f>'SC-NR'!$C$8</f>
        <v>HPWH</v>
      </c>
      <c r="D10" s="56" t="s">
        <v>546</v>
      </c>
      <c r="E10" s="56" t="str">
        <f>'SC-New'!$A$9</f>
        <v>Water Heating</v>
      </c>
      <c r="F10" s="198">
        <f t="shared" si="1"/>
        <v>0.22459116393548048</v>
      </c>
      <c r="G10" s="58">
        <f>'SC-New'!A45</f>
        <v>1009.2424439729974</v>
      </c>
      <c r="H10" s="58">
        <f>'SC-New'!B45</f>
        <v>71.047447426738415</v>
      </c>
      <c r="I10" s="7" t="str">
        <f>'SC-New'!C45</f>
        <v>Manufactured</v>
      </c>
      <c r="J10" s="7" t="str">
        <f>'SC-New'!D45</f>
        <v>Manufactured Tier1_buffered</v>
      </c>
      <c r="K10" s="29">
        <f ca="1">'SC-New'!E45</f>
        <v>2.4690010088186692E-4</v>
      </c>
      <c r="L10" s="29">
        <f ca="1">'SC-New'!F45</f>
        <v>6.3915499013988324E-4</v>
      </c>
      <c r="M10" s="29">
        <f ca="1">'SC-New'!G45</f>
        <v>1.4712654842315746E-3</v>
      </c>
      <c r="N10" s="29">
        <f ca="1">'SC-New'!H45</f>
        <v>2.994186630674584E-3</v>
      </c>
      <c r="O10" s="29">
        <f ca="1">'SC-New'!I45</f>
        <v>5.1174506518643368E-3</v>
      </c>
      <c r="P10" s="29">
        <f ca="1">'SC-New'!J45</f>
        <v>8.0882466285548127E-3</v>
      </c>
      <c r="Q10" s="29">
        <f ca="1">'SC-New'!K45</f>
        <v>1.2011718666657975E-2</v>
      </c>
      <c r="R10" s="29">
        <f ca="1">'SC-New'!L45</f>
        <v>1.6651105802641012E-2</v>
      </c>
      <c r="S10" s="29">
        <f ca="1">'SC-New'!M45</f>
        <v>2.1692899556164092E-2</v>
      </c>
      <c r="T10" s="29">
        <f ca="1">'SC-New'!N45</f>
        <v>2.6660130947356104E-2</v>
      </c>
      <c r="U10" s="29">
        <f ca="1">'SC-New'!O45</f>
        <v>3.1114535975033861E-2</v>
      </c>
      <c r="V10" s="29">
        <f ca="1">'SC-New'!P45</f>
        <v>3.5101090086295646E-2</v>
      </c>
      <c r="W10" s="29">
        <f ca="1">'SC-New'!Q45</f>
        <v>3.8465674184540673E-2</v>
      </c>
      <c r="X10" s="29">
        <f ca="1">'SC-New'!R45</f>
        <v>4.1089280683733118E-2</v>
      </c>
      <c r="Y10" s="29">
        <f ca="1">'SC-New'!S45</f>
        <v>4.3006533291568748E-2</v>
      </c>
      <c r="Z10" s="29">
        <f ca="1">'SC-New'!T45</f>
        <v>4.4316424273900749E-2</v>
      </c>
      <c r="AA10" s="29">
        <f ca="1">'SC-New'!U45</f>
        <v>4.5173053598744552E-2</v>
      </c>
      <c r="AB10" s="29">
        <f ca="1">'SC-New'!V45</f>
        <v>4.5742397059798802E-2</v>
      </c>
      <c r="AC10" s="29">
        <f ca="1">'SC-New'!W45</f>
        <v>4.6099926029398219E-2</v>
      </c>
      <c r="AD10" s="29">
        <f ca="1">'SC-New'!X45</f>
        <v>4.6305844655445329E-2</v>
      </c>
      <c r="AE10" s="29">
        <f ca="1">'SC-New'!Y45</f>
        <v>0.51198781929762593</v>
      </c>
      <c r="AF10" s="199">
        <f t="shared" si="2"/>
        <v>50.234325751920103</v>
      </c>
      <c r="AG10" s="199">
        <f t="shared" si="3"/>
        <v>44.409928196520703</v>
      </c>
      <c r="AH10" s="199">
        <f t="shared" si="4"/>
        <v>54.141618061593178</v>
      </c>
      <c r="AI10" s="199">
        <f t="shared" si="5"/>
        <v>56.216388345206006</v>
      </c>
      <c r="AJ10" s="199">
        <f t="shared" si="6"/>
        <v>64.338645698132723</v>
      </c>
      <c r="AK10" s="199">
        <f t="shared" si="7"/>
        <v>72.164140890073469</v>
      </c>
      <c r="AL10" s="199">
        <f t="shared" si="8"/>
        <v>60.608185692620822</v>
      </c>
      <c r="AM10" s="199">
        <f t="shared" si="9"/>
        <v>64.732616985313385</v>
      </c>
      <c r="AN10" s="199">
        <f t="shared" si="10"/>
        <v>57.791350895219111</v>
      </c>
      <c r="AO10" s="199">
        <f t="shared" si="11"/>
        <v>62.633926445036863</v>
      </c>
      <c r="AP10" s="199">
        <f t="shared" si="12"/>
        <v>58.196381121010731</v>
      </c>
      <c r="AQ10" s="199">
        <f t="shared" si="13"/>
        <v>51.974809966459198</v>
      </c>
      <c r="AR10" s="199"/>
      <c r="AS10" s="199">
        <f t="shared" si="14"/>
        <v>22.532768711463049</v>
      </c>
      <c r="AT10" s="199">
        <f t="shared" si="15"/>
        <v>18.599157647370813</v>
      </c>
      <c r="AU10" s="199">
        <f t="shared" si="16"/>
        <v>19.68136827353521</v>
      </c>
      <c r="AV10" s="199">
        <f t="shared" si="17"/>
        <v>25.299916141454915</v>
      </c>
      <c r="AW10" s="199">
        <f t="shared" si="18"/>
        <v>31.602315175484375</v>
      </c>
      <c r="AX10" s="199">
        <f t="shared" si="19"/>
        <v>28.807546416261605</v>
      </c>
      <c r="AY10" s="199">
        <f t="shared" si="20"/>
        <v>32.31888483724957</v>
      </c>
      <c r="AZ10" s="199">
        <f t="shared" si="21"/>
        <v>24.171553122207147</v>
      </c>
      <c r="BA10" s="199">
        <f t="shared" si="22"/>
        <v>30.540422906779348</v>
      </c>
      <c r="BB10" s="199">
        <f t="shared" si="23"/>
        <v>25.106241076682473</v>
      </c>
      <c r="BC10" s="199">
        <f t="shared" si="24"/>
        <v>30.602947645900013</v>
      </c>
      <c r="BD10" s="199">
        <f t="shared" si="25"/>
        <v>22.537003969502422</v>
      </c>
    </row>
    <row r="11" spans="1:56" ht="15">
      <c r="A11" s="56" t="str">
        <f>VLOOKUP(CONCATENATE($C11," - ",$B11),[2]ACHIEV!$B$12:$C$100,2,FALSE)</f>
        <v>LO3Slow</v>
      </c>
      <c r="B11" s="56" t="str">
        <f>'SC-New'!$C$7</f>
        <v>New</v>
      </c>
      <c r="C11" s="56" t="str">
        <f>'SC-NR'!$C$8</f>
        <v>HPWH</v>
      </c>
      <c r="D11" s="56" t="s">
        <v>546</v>
      </c>
      <c r="E11" s="56" t="str">
        <f>'SC-New'!$A$9</f>
        <v>Water Heating</v>
      </c>
      <c r="F11" s="198">
        <f t="shared" si="1"/>
        <v>0.18208105295500426</v>
      </c>
      <c r="G11" s="58">
        <f>'SC-New'!A46</f>
        <v>1038.3745091059893</v>
      </c>
      <c r="H11" s="58">
        <f>'SC-New'!B46</f>
        <v>80.520363180245837</v>
      </c>
      <c r="I11" s="7" t="str">
        <f>'SC-New'!C46</f>
        <v>Manufactured</v>
      </c>
      <c r="J11" s="7" t="str">
        <f>'SC-New'!D46</f>
        <v>Manufactured Tier1_indor2_zonl</v>
      </c>
      <c r="K11" s="29">
        <f ca="1">'SC-New'!E46</f>
        <v>1.0718931734529865E-5</v>
      </c>
      <c r="L11" s="29">
        <f ca="1">'SC-New'!F46</f>
        <v>2.7748302583203525E-5</v>
      </c>
      <c r="M11" s="29">
        <f ca="1">'SC-New'!G46</f>
        <v>6.3873583820015772E-5</v>
      </c>
      <c r="N11" s="29">
        <f ca="1">'SC-New'!H46</f>
        <v>1.2998974880937348E-4</v>
      </c>
      <c r="O11" s="29">
        <f ca="1">'SC-New'!I46</f>
        <v>2.2216922551362072E-4</v>
      </c>
      <c r="P11" s="29">
        <f ca="1">'SC-New'!J46</f>
        <v>3.5114349145204296E-4</v>
      </c>
      <c r="Q11" s="29">
        <f ca="1">'SC-New'!K46</f>
        <v>5.2147727741872678E-4</v>
      </c>
      <c r="R11" s="29">
        <f ca="1">'SC-New'!L46</f>
        <v>7.2289183262966999E-4</v>
      </c>
      <c r="S11" s="29">
        <f ca="1">'SC-New'!M46</f>
        <v>9.4177648626312662E-4</v>
      </c>
      <c r="T11" s="29">
        <f ca="1">'SC-New'!N46</f>
        <v>1.1574240862504432E-3</v>
      </c>
      <c r="U11" s="29">
        <f ca="1">'SC-New'!O46</f>
        <v>1.3508078201536937E-3</v>
      </c>
      <c r="V11" s="29">
        <f ca="1">'SC-New'!P46</f>
        <v>1.523880253992309E-3</v>
      </c>
      <c r="W11" s="29">
        <f ca="1">'SC-New'!Q46</f>
        <v>1.6699504545931135E-3</v>
      </c>
      <c r="X11" s="29">
        <f ca="1">'SC-New'!R46</f>
        <v>1.7838518214320365E-3</v>
      </c>
      <c r="Y11" s="29">
        <f ca="1">'SC-New'!S46</f>
        <v>1.8670875096631749E-3</v>
      </c>
      <c r="Z11" s="29">
        <f ca="1">'SC-New'!T46</f>
        <v>1.9239551738283295E-3</v>
      </c>
      <c r="AA11" s="29">
        <f ca="1">'SC-New'!U46</f>
        <v>1.961144916651442E-3</v>
      </c>
      <c r="AB11" s="29">
        <f ca="1">'SC-New'!V46</f>
        <v>1.9858624184699671E-3</v>
      </c>
      <c r="AC11" s="29">
        <f ca="1">'SC-New'!W46</f>
        <v>2.0013841967299385E-3</v>
      </c>
      <c r="AD11" s="29">
        <f ca="1">'SC-New'!X46</f>
        <v>2.0103239569308593E-3</v>
      </c>
      <c r="AE11" s="29">
        <f ca="1">'SC-New'!Y46</f>
        <v>2.2227461488919617E-2</v>
      </c>
      <c r="AF11" s="199">
        <f t="shared" si="2"/>
        <v>34.977131022224988</v>
      </c>
      <c r="AG11" s="199">
        <f t="shared" si="3"/>
        <v>33.806910881646338</v>
      </c>
      <c r="AH11" s="199">
        <f t="shared" si="4"/>
        <v>50.722527507709643</v>
      </c>
      <c r="AI11" s="199">
        <f t="shared" si="5"/>
        <v>55.600339557692742</v>
      </c>
      <c r="AJ11" s="199">
        <f t="shared" si="6"/>
        <v>79.98917006781069</v>
      </c>
      <c r="AK11" s="199">
        <f t="shared" si="7"/>
        <v>95.702179821828977</v>
      </c>
      <c r="AL11" s="199">
        <f t="shared" si="8"/>
        <v>81.237480026984386</v>
      </c>
      <c r="AM11" s="199">
        <f t="shared" si="9"/>
        <v>86.845812806063719</v>
      </c>
      <c r="AN11" s="199">
        <f t="shared" si="10"/>
        <v>74.607492615127285</v>
      </c>
      <c r="AO11" s="199">
        <f t="shared" si="11"/>
        <v>73.163604088122753</v>
      </c>
      <c r="AP11" s="199">
        <f t="shared" si="12"/>
        <v>57.197757271584415</v>
      </c>
      <c r="AQ11" s="199">
        <f t="shared" si="13"/>
        <v>32.843318389286459</v>
      </c>
      <c r="AR11" s="199"/>
      <c r="AS11" s="199">
        <f t="shared" si="14"/>
        <v>3.6706311802732134</v>
      </c>
      <c r="AT11" s="199">
        <f t="shared" si="15"/>
        <v>4.8520653792978647</v>
      </c>
      <c r="AU11" s="199">
        <f t="shared" si="16"/>
        <v>10.679555858915515</v>
      </c>
      <c r="AV11" s="199">
        <f t="shared" si="17"/>
        <v>19.034865685269725</v>
      </c>
      <c r="AW11" s="199">
        <f t="shared" si="18"/>
        <v>37.930272977697406</v>
      </c>
      <c r="AX11" s="199">
        <f t="shared" si="19"/>
        <v>37.723659187225685</v>
      </c>
      <c r="AY11" s="199">
        <f t="shared" si="20"/>
        <v>43.164513320441429</v>
      </c>
      <c r="AZ11" s="199">
        <f t="shared" si="21"/>
        <v>32.25155285826618</v>
      </c>
      <c r="BA11" s="199">
        <f t="shared" si="22"/>
        <v>38.650686950620631</v>
      </c>
      <c r="BB11" s="199">
        <f t="shared" si="23"/>
        <v>26.748041987506941</v>
      </c>
      <c r="BC11" s="199">
        <f t="shared" si="24"/>
        <v>25.130145209231806</v>
      </c>
      <c r="BD11" s="199">
        <f t="shared" si="25"/>
        <v>1.844794455160186</v>
      </c>
    </row>
    <row r="12" spans="1:56" ht="15">
      <c r="A12" s="56" t="str">
        <f>VLOOKUP(CONCATENATE($C12," - ",$B12),[2]ACHIEV!$B$12:$C$100,2,FALSE)</f>
        <v>LO3Slow</v>
      </c>
      <c r="B12" s="56" t="str">
        <f>'SC-New'!$C$7</f>
        <v>New</v>
      </c>
      <c r="C12" s="56" t="str">
        <f>'SC-NR'!$C$8</f>
        <v>HPWH</v>
      </c>
      <c r="D12" s="56" t="s">
        <v>546</v>
      </c>
      <c r="E12" s="56" t="str">
        <f>'SC-New'!$A$9</f>
        <v>Water Heating</v>
      </c>
      <c r="F12" s="198">
        <f t="shared" si="1"/>
        <v>0.1788373356834887</v>
      </c>
      <c r="G12" s="58">
        <f>'SC-New'!A47</f>
        <v>1026.0267452906901</v>
      </c>
      <c r="H12" s="58">
        <f>'SC-New'!B47</f>
        <v>81.814022161149751</v>
      </c>
      <c r="I12" t="str">
        <f>'SC-New'!C47</f>
        <v>Single Family</v>
      </c>
      <c r="J12" s="7" t="str">
        <f>'SC-New'!D47</f>
        <v>Single Family Tier1_indor2_zonl</v>
      </c>
      <c r="K12" s="41">
        <f ca="1">'SC-New'!E47</f>
        <v>8.4202783394296435E-4</v>
      </c>
      <c r="L12" s="41">
        <f ca="1">'SC-New'!F47</f>
        <v>2.0715116210133755E-3</v>
      </c>
      <c r="M12" s="41">
        <f ca="1">'SC-New'!G47</f>
        <v>4.3635196547114532E-3</v>
      </c>
      <c r="N12" s="41">
        <f ca="1">'SC-New'!H47</f>
        <v>8.2850549044229012E-3</v>
      </c>
      <c r="O12" s="41">
        <f ca="1">'SC-New'!I47</f>
        <v>1.4213490867279922E-2</v>
      </c>
      <c r="P12" s="41">
        <f ca="1">'SC-New'!J47</f>
        <v>2.1747738470753095E-2</v>
      </c>
      <c r="Q12" s="41">
        <f ca="1">'SC-New'!K47</f>
        <v>3.1293737612638643E-2</v>
      </c>
      <c r="R12" s="41">
        <f ca="1">'SC-New'!L47</f>
        <v>4.2931208962298469E-2</v>
      </c>
      <c r="S12" s="41">
        <f ca="1">'SC-New'!M47</f>
        <v>5.5051393972923503E-2</v>
      </c>
      <c r="T12" s="41">
        <f ca="1">'SC-New'!N47</f>
        <v>6.8815927761756296E-2</v>
      </c>
      <c r="U12" s="41">
        <f ca="1">'SC-New'!O47</f>
        <v>8.1313542267784381E-2</v>
      </c>
      <c r="V12" s="41">
        <f ca="1">'SC-New'!P47</f>
        <v>9.0649490716176673E-2</v>
      </c>
      <c r="W12" s="41">
        <f ca="1">'SC-New'!Q47</f>
        <v>9.6569701380141065E-2</v>
      </c>
      <c r="X12" s="41">
        <f ca="1">'SC-New'!R47</f>
        <v>0.10314871053382997</v>
      </c>
      <c r="Y12" s="41">
        <f ca="1">'SC-New'!S47</f>
        <v>0.10918196653057714</v>
      </c>
      <c r="Z12" s="41">
        <f ca="1">'SC-New'!T47</f>
        <v>0.1120826736118295</v>
      </c>
      <c r="AA12" s="41">
        <f ca="1">'SC-New'!U47</f>
        <v>0.11054492442155069</v>
      </c>
      <c r="AB12" s="41">
        <f ca="1">'SC-New'!V47</f>
        <v>0.1117343360020138</v>
      </c>
      <c r="AC12" s="41">
        <f ca="1">'SC-New'!W47</f>
        <v>0.11285936326255895</v>
      </c>
      <c r="AD12" s="41">
        <f ca="1">'SC-New'!X47</f>
        <v>0.11411962374909544</v>
      </c>
      <c r="AE12" s="41">
        <f ca="1">'SC-New'!Y47</f>
        <v>1.2918199441372982</v>
      </c>
      <c r="AF12" s="199">
        <f t="shared" si="2"/>
        <v>34.193416638527893</v>
      </c>
      <c r="AG12" s="199">
        <f t="shared" si="3"/>
        <v>33.143268270888505</v>
      </c>
      <c r="AH12" s="199">
        <f t="shared" si="4"/>
        <v>50.009694204389355</v>
      </c>
      <c r="AI12" s="199">
        <f t="shared" si="5"/>
        <v>54.889888728679303</v>
      </c>
      <c r="AJ12" s="199">
        <f t="shared" si="6"/>
        <v>79.341625708320322</v>
      </c>
      <c r="AK12" s="199">
        <f t="shared" si="7"/>
        <v>95.036445240967083</v>
      </c>
      <c r="AL12" s="199">
        <f t="shared" si="8"/>
        <v>80.687062580798468</v>
      </c>
      <c r="AM12" s="199">
        <f t="shared" si="9"/>
        <v>86.258749458346529</v>
      </c>
      <c r="AN12" s="199">
        <f t="shared" si="10"/>
        <v>74.053763908369731</v>
      </c>
      <c r="AO12" s="199">
        <f t="shared" si="11"/>
        <v>72.485580477409869</v>
      </c>
      <c r="AP12" s="199">
        <f t="shared" si="12"/>
        <v>56.458630855903763</v>
      </c>
      <c r="AQ12" s="199">
        <f t="shared" si="13"/>
        <v>31.998584937939611</v>
      </c>
      <c r="AR12" s="199"/>
      <c r="AS12" s="199">
        <f t="shared" si="14"/>
        <v>3.1974406313049721</v>
      </c>
      <c r="AT12" s="199">
        <f t="shared" si="15"/>
        <v>4.4799259586474962</v>
      </c>
      <c r="AU12" s="199">
        <f t="shared" si="16"/>
        <v>10.341892222121775</v>
      </c>
      <c r="AV12" s="199">
        <f t="shared" si="17"/>
        <v>18.654521206408294</v>
      </c>
      <c r="AW12" s="199">
        <f t="shared" si="18"/>
        <v>37.59844766787343</v>
      </c>
      <c r="AX12" s="199">
        <f t="shared" si="19"/>
        <v>37.453041289868231</v>
      </c>
      <c r="AY12" s="199">
        <f t="shared" si="20"/>
        <v>42.869440242724785</v>
      </c>
      <c r="AZ12" s="199">
        <f t="shared" si="21"/>
        <v>32.030546156708972</v>
      </c>
      <c r="BA12" s="199">
        <f t="shared" si="22"/>
        <v>38.350204617460349</v>
      </c>
      <c r="BB12" s="199">
        <f t="shared" si="23"/>
        <v>26.450158080817683</v>
      </c>
      <c r="BC12" s="199">
        <f t="shared" si="24"/>
        <v>24.691389637115709</v>
      </c>
      <c r="BD12" s="199">
        <f t="shared" si="25"/>
        <v>1.3530265690975645</v>
      </c>
    </row>
    <row r="13" spans="1:56" ht="15">
      <c r="A13" s="56" t="str">
        <f>VLOOKUP(CONCATENATE($C13," - ",$B13),[2]ACHIEV!$B$12:$C$100,2,FALSE)</f>
        <v>LO3Slow</v>
      </c>
      <c r="B13" s="56" t="str">
        <f>'SC-New'!$C$7</f>
        <v>New</v>
      </c>
      <c r="C13" s="56" t="str">
        <f>'SC-New'!$C$8</f>
        <v>HPWH</v>
      </c>
      <c r="D13" s="56" t="s">
        <v>546</v>
      </c>
      <c r="E13" s="56" t="str">
        <f>'SC-New'!$A$9</f>
        <v>Water Heating</v>
      </c>
      <c r="F13" s="198">
        <f t="shared" si="1"/>
        <v>0.11198994195198492</v>
      </c>
      <c r="G13" s="58">
        <f>'SC-New'!A48</f>
        <v>998.36291367990407</v>
      </c>
      <c r="H13" s="58">
        <f>'SC-New'!B48</f>
        <v>88.894732127246641</v>
      </c>
      <c r="I13" s="7" t="str">
        <f>'SC-New'!C48</f>
        <v>Manufactured</v>
      </c>
      <c r="J13" s="7" t="str">
        <f>'SC-New'!D48</f>
        <v>Manufactured Tier1_indor2_efaf</v>
      </c>
      <c r="K13" s="29">
        <f ca="1">'SC-New'!E48</f>
        <v>1.3201713566235969E-4</v>
      </c>
      <c r="L13" s="29">
        <f ca="1">'SC-New'!F48</f>
        <v>3.4175527163086798E-4</v>
      </c>
      <c r="M13" s="29">
        <f ca="1">'SC-New'!G48</f>
        <v>7.8668357904025492E-4</v>
      </c>
      <c r="N13" s="29">
        <f ca="1">'SC-New'!H48</f>
        <v>1.6009873677990914E-3</v>
      </c>
      <c r="O13" s="29">
        <f ca="1">'SC-New'!I48</f>
        <v>2.7362936448367507E-3</v>
      </c>
      <c r="P13" s="29">
        <f ca="1">'SC-New'!J48</f>
        <v>4.3247740629455749E-3</v>
      </c>
      <c r="Q13" s="29">
        <f ca="1">'SC-New'!K48</f>
        <v>6.4226490272396098E-3</v>
      </c>
      <c r="R13" s="29">
        <f ca="1">'SC-New'!L48</f>
        <v>8.9033227844946914E-3</v>
      </c>
      <c r="S13" s="29">
        <f ca="1">'SC-New'!M48</f>
        <v>1.1599162792510569E-2</v>
      </c>
      <c r="T13" s="29">
        <f ca="1">'SC-New'!N48</f>
        <v>1.4255134410566266E-2</v>
      </c>
      <c r="U13" s="29">
        <f ca="1">'SC-New'!O48</f>
        <v>1.6636898495447694E-2</v>
      </c>
      <c r="V13" s="29">
        <f ca="1">'SC-New'!P48</f>
        <v>1.8768503355275586E-2</v>
      </c>
      <c r="W13" s="29">
        <f ca="1">'SC-New'!Q48</f>
        <v>2.0567541726499088E-2</v>
      </c>
      <c r="X13" s="29">
        <f ca="1">'SC-New'!R48</f>
        <v>2.1970380420737848E-2</v>
      </c>
      <c r="Y13" s="29">
        <f ca="1">'SC-New'!S48</f>
        <v>2.2995532685656343E-2</v>
      </c>
      <c r="Z13" s="29">
        <f ca="1">'SC-New'!T48</f>
        <v>2.3695929546167005E-2</v>
      </c>
      <c r="AA13" s="29">
        <f ca="1">'SC-New'!U48</f>
        <v>2.4153968037793096E-2</v>
      </c>
      <c r="AB13" s="29">
        <f ca="1">'SC-New'!V48</f>
        <v>2.4458395183298558E-2</v>
      </c>
      <c r="AC13" s="29">
        <f ca="1">'SC-New'!W48</f>
        <v>2.4649565419010255E-2</v>
      </c>
      <c r="AD13" s="29">
        <f ca="1">'SC-New'!X48</f>
        <v>2.4759669817887252E-2</v>
      </c>
      <c r="AE13" s="29">
        <f ca="1">'SC-New'!Y48</f>
        <v>0.2737591647644988</v>
      </c>
      <c r="AF13" s="199">
        <f t="shared" si="2"/>
        <v>27.090454483102757</v>
      </c>
      <c r="AG13" s="199">
        <f t="shared" si="3"/>
        <v>30.260429682034751</v>
      </c>
      <c r="AH13" s="199">
        <f t="shared" si="4"/>
        <v>46.221723760706858</v>
      </c>
      <c r="AI13" s="199">
        <f t="shared" si="5"/>
        <v>54.387511169452907</v>
      </c>
      <c r="AJ13" s="199">
        <f t="shared" si="6"/>
        <v>78.106487441246813</v>
      </c>
      <c r="AK13" s="199">
        <f t="shared" si="7"/>
        <v>95.121342460702607</v>
      </c>
      <c r="AL13" s="199">
        <f t="shared" si="8"/>
        <v>81.375316149205062</v>
      </c>
      <c r="AM13" s="199">
        <f t="shared" si="9"/>
        <v>87.050964563289284</v>
      </c>
      <c r="AN13" s="199">
        <f t="shared" si="10"/>
        <v>73.331180053190351</v>
      </c>
      <c r="AO13" s="199">
        <f t="shared" si="11"/>
        <v>68.095568883146186</v>
      </c>
      <c r="AP13" s="199">
        <f t="shared" si="12"/>
        <v>52.419995974689186</v>
      </c>
      <c r="AQ13" s="199">
        <f t="shared" si="13"/>
        <v>22.686449061177232</v>
      </c>
      <c r="AR13" s="199"/>
      <c r="AS13" s="199">
        <f t="shared" si="14"/>
        <v>4.5071029228739778</v>
      </c>
      <c r="AT13" s="199">
        <f t="shared" si="15"/>
        <v>5.7005570953532034</v>
      </c>
      <c r="AU13" s="199">
        <f t="shared" si="16"/>
        <v>11.549997896392105</v>
      </c>
      <c r="AV13" s="199">
        <f t="shared" si="17"/>
        <v>21.29626434737694</v>
      </c>
      <c r="AW13" s="199">
        <f t="shared" si="18"/>
        <v>37.669088075965071</v>
      </c>
      <c r="AX13" s="199">
        <f t="shared" si="19"/>
        <v>37.706123272775855</v>
      </c>
      <c r="AY13" s="199">
        <f t="shared" si="20"/>
        <v>43.37686410932703</v>
      </c>
      <c r="AZ13" s="199">
        <f t="shared" si="21"/>
        <v>32.468810817881561</v>
      </c>
      <c r="BA13" s="199">
        <f t="shared" si="22"/>
        <v>38.530930319561165</v>
      </c>
      <c r="BB13" s="199">
        <f t="shared" si="23"/>
        <v>25.387868137651569</v>
      </c>
      <c r="BC13" s="199">
        <f t="shared" si="24"/>
        <v>24.187963074863529</v>
      </c>
      <c r="BD13" s="199">
        <f t="shared" si="25"/>
        <v>-0.16608007206226946</v>
      </c>
    </row>
    <row r="14" spans="1:56" ht="15">
      <c r="A14" s="56" t="str">
        <f>VLOOKUP(CONCATENATE($C14," - ",$B14),[2]ACHIEV!$B$12:$C$100,2,FALSE)</f>
        <v>LO3Slow</v>
      </c>
      <c r="B14" s="56" t="str">
        <f>'SC-New'!$C$7</f>
        <v>New</v>
      </c>
      <c r="C14" s="56" t="str">
        <f>'SC-New'!$C$8</f>
        <v>HPWH</v>
      </c>
      <c r="D14" s="56" t="s">
        <v>546</v>
      </c>
      <c r="E14" s="56" t="str">
        <f>'SC-New'!$A$9</f>
        <v>Water Heating</v>
      </c>
      <c r="F14" s="198">
        <f t="shared" si="1"/>
        <v>0.10813779899635631</v>
      </c>
      <c r="G14" s="58">
        <f>'SC-New'!A49</f>
        <v>985.78061802533921</v>
      </c>
      <c r="H14" s="58">
        <f>'SC-New'!B49</f>
        <v>90.414656755049762</v>
      </c>
      <c r="I14" s="7" t="str">
        <f>'SC-New'!C49</f>
        <v>Single Family</v>
      </c>
      <c r="J14" s="7" t="str">
        <f>'SC-New'!D49</f>
        <v>Single Family Tier1_indor2_efaf</v>
      </c>
      <c r="K14" s="29">
        <f ca="1">'SC-New'!E49</f>
        <v>3.0038460322245165E-4</v>
      </c>
      <c r="L14" s="29">
        <f ca="1">'SC-New'!F49</f>
        <v>7.3899005622532574E-4</v>
      </c>
      <c r="M14" s="29">
        <f ca="1">'SC-New'!G49</f>
        <v>1.5566398963275279E-3</v>
      </c>
      <c r="N14" s="29">
        <f ca="1">'SC-New'!H49</f>
        <v>2.9556064892622951E-3</v>
      </c>
      <c r="O14" s="29">
        <f ca="1">'SC-New'!I49</f>
        <v>5.0705138743228515E-3</v>
      </c>
      <c r="P14" s="29">
        <f ca="1">'SC-New'!J49</f>
        <v>7.7582777292909688E-3</v>
      </c>
      <c r="Q14" s="29">
        <f ca="1">'SC-New'!K49</f>
        <v>1.1163712857450148E-2</v>
      </c>
      <c r="R14" s="29">
        <f ca="1">'SC-New'!L49</f>
        <v>1.5315258771925227E-2</v>
      </c>
      <c r="S14" s="29">
        <f ca="1">'SC-New'!M49</f>
        <v>1.9639007724915201E-2</v>
      </c>
      <c r="T14" s="29">
        <f ca="1">'SC-New'!N49</f>
        <v>2.454936086768392E-2</v>
      </c>
      <c r="U14" s="29">
        <f ca="1">'SC-New'!O49</f>
        <v>2.9007753836763232E-2</v>
      </c>
      <c r="V14" s="29">
        <f ca="1">'SC-New'!P49</f>
        <v>3.2338255581870076E-2</v>
      </c>
      <c r="W14" s="29">
        <f ca="1">'SC-New'!Q49</f>
        <v>3.4450228677772185E-2</v>
      </c>
      <c r="X14" s="29">
        <f ca="1">'SC-New'!R49</f>
        <v>3.679722122904406E-2</v>
      </c>
      <c r="Y14" s="29">
        <f ca="1">'SC-New'!S49</f>
        <v>3.8949522062421416E-2</v>
      </c>
      <c r="Z14" s="29">
        <f ca="1">'SC-New'!T49</f>
        <v>3.9984318907065344E-2</v>
      </c>
      <c r="AA14" s="29">
        <f ca="1">'SC-New'!U49</f>
        <v>3.943574300285263E-2</v>
      </c>
      <c r="AB14" s="29">
        <f ca="1">'SC-New'!V49</f>
        <v>3.9860053116204289E-2</v>
      </c>
      <c r="AC14" s="29">
        <f ca="1">'SC-New'!W49</f>
        <v>4.026139479833233E-2</v>
      </c>
      <c r="AD14" s="29">
        <f ca="1">'SC-New'!X49</f>
        <v>4.0710979516253701E-2</v>
      </c>
      <c r="AE14" s="29">
        <f ca="1">'SC-New'!Y49</f>
        <v>0.46084322359920515</v>
      </c>
      <c r="AF14" s="199">
        <f t="shared" si="2"/>
        <v>26.248341801449509</v>
      </c>
      <c r="AG14" s="199">
        <f t="shared" si="3"/>
        <v>29.576221050421928</v>
      </c>
      <c r="AH14" s="199">
        <f t="shared" si="4"/>
        <v>45.476679961062153</v>
      </c>
      <c r="AI14" s="199">
        <f t="shared" si="5"/>
        <v>53.674979923464861</v>
      </c>
      <c r="AJ14" s="199">
        <f t="shared" si="6"/>
        <v>77.442470156381376</v>
      </c>
      <c r="AK14" s="199">
        <f t="shared" si="7"/>
        <v>94.448322198690832</v>
      </c>
      <c r="AL14" s="199">
        <f t="shared" si="8"/>
        <v>80.824261469779458</v>
      </c>
      <c r="AM14" s="199">
        <f t="shared" si="9"/>
        <v>86.463728006887962</v>
      </c>
      <c r="AN14" s="199">
        <f t="shared" si="10"/>
        <v>72.765035708257329</v>
      </c>
      <c r="AO14" s="199">
        <f t="shared" si="11"/>
        <v>67.373310126020826</v>
      </c>
      <c r="AP14" s="199">
        <f t="shared" si="12"/>
        <v>51.64528769125814</v>
      </c>
      <c r="AQ14" s="199">
        <f t="shared" si="13"/>
        <v>21.764140901892993</v>
      </c>
      <c r="AR14" s="199"/>
      <c r="AS14" s="199">
        <f t="shared" si="14"/>
        <v>4.0563714093979382</v>
      </c>
      <c r="AT14" s="199">
        <f t="shared" si="15"/>
        <v>5.3474214159402713</v>
      </c>
      <c r="AU14" s="199">
        <f t="shared" si="16"/>
        <v>11.229005594546122</v>
      </c>
      <c r="AV14" s="199">
        <f t="shared" si="17"/>
        <v>20.945220644013961</v>
      </c>
      <c r="AW14" s="199">
        <f t="shared" si="18"/>
        <v>37.336286753053059</v>
      </c>
      <c r="AX14" s="199">
        <f t="shared" si="19"/>
        <v>37.43491872840292</v>
      </c>
      <c r="AY14" s="199">
        <f t="shared" si="20"/>
        <v>43.082865834269555</v>
      </c>
      <c r="AZ14" s="199">
        <f t="shared" si="21"/>
        <v>32.249184087788024</v>
      </c>
      <c r="BA14" s="199">
        <f t="shared" si="22"/>
        <v>38.229628795235804</v>
      </c>
      <c r="BB14" s="199">
        <f t="shared" si="23"/>
        <v>25.080140703318449</v>
      </c>
      <c r="BC14" s="199">
        <f t="shared" si="24"/>
        <v>23.748325337627794</v>
      </c>
      <c r="BD14" s="199">
        <f t="shared" si="25"/>
        <v>-0.6615302738223553</v>
      </c>
    </row>
    <row r="15" spans="1:56" ht="15">
      <c r="A15" s="56" t="str">
        <f>VLOOKUP(CONCATENATE($C15," - ",$B15),[2]ACHIEV!$B$12:$C$100,2,FALSE)</f>
        <v>LO3Slow</v>
      </c>
      <c r="B15" s="56" t="str">
        <f>'SC-New'!$C$7</f>
        <v>New</v>
      </c>
      <c r="C15" s="56" t="str">
        <f>'SC-New'!$C$8</f>
        <v>HPWH</v>
      </c>
      <c r="D15" s="56" t="s">
        <v>546</v>
      </c>
      <c r="E15" s="56" t="str">
        <f>'SC-New'!$A$9</f>
        <v>Water Heating</v>
      </c>
      <c r="F15" s="198">
        <f t="shared" si="1"/>
        <v>7.0559843897636976E-2</v>
      </c>
      <c r="G15" s="58">
        <f>'SC-New'!A50</f>
        <v>317.07386640893014</v>
      </c>
      <c r="H15" s="58">
        <f>'SC-New'!B50</f>
        <v>422.42149509679393</v>
      </c>
      <c r="I15" s="7" t="str">
        <f>'SC-New'!C50</f>
        <v>Manufactured</v>
      </c>
      <c r="J15" s="7" t="str">
        <f>'SC-New'!D50</f>
        <v>Manufactured Tier2_buffered</v>
      </c>
      <c r="K15" s="29">
        <f ca="1">'SC-New'!E50</f>
        <v>8.8146188342097214E-5</v>
      </c>
      <c r="L15" s="29">
        <f ca="1">'SC-New'!F50</f>
        <v>2.2818571535382931E-4</v>
      </c>
      <c r="M15" s="29">
        <f ca="1">'SC-New'!G50</f>
        <v>5.2525877474774167E-4</v>
      </c>
      <c r="N15" s="29">
        <f ca="1">'SC-New'!H50</f>
        <v>1.068959217659902E-3</v>
      </c>
      <c r="O15" s="29">
        <f ca="1">'SC-New'!I50</f>
        <v>1.8269890023513999E-3</v>
      </c>
      <c r="P15" s="29">
        <f ca="1">'SC-New'!J50</f>
        <v>2.8875974863171333E-3</v>
      </c>
      <c r="Q15" s="29">
        <f ca="1">'SC-New'!K50</f>
        <v>4.2883223300508554E-3</v>
      </c>
      <c r="R15" s="29">
        <f ca="1">'SC-New'!L50</f>
        <v>5.9446371343770364E-3</v>
      </c>
      <c r="S15" s="29">
        <f ca="1">'SC-New'!M50</f>
        <v>7.7446157499900421E-3</v>
      </c>
      <c r="T15" s="29">
        <f ca="1">'SC-New'!N50</f>
        <v>9.5179747408649824E-3</v>
      </c>
      <c r="U15" s="29">
        <f ca="1">'SC-New'!O50</f>
        <v>1.1108248795509994E-2</v>
      </c>
      <c r="V15" s="29">
        <f ca="1">'SC-New'!P50</f>
        <v>1.2531494668120534E-2</v>
      </c>
      <c r="W15" s="29">
        <f ca="1">'SC-New'!Q50</f>
        <v>1.3732690060740616E-2</v>
      </c>
      <c r="X15" s="29">
        <f ca="1">'SC-New'!R50</f>
        <v>1.4669347890313628E-2</v>
      </c>
      <c r="Y15" s="29">
        <f ca="1">'SC-New'!S50</f>
        <v>1.5353829220479289E-2</v>
      </c>
      <c r="Z15" s="29">
        <f ca="1">'SC-New'!T50</f>
        <v>1.5821475433760897E-2</v>
      </c>
      <c r="AA15" s="29">
        <f ca="1">'SC-New'!U50</f>
        <v>1.6127301998988475E-2</v>
      </c>
      <c r="AB15" s="29">
        <f ca="1">'SC-New'!V50</f>
        <v>1.6330564191957133E-2</v>
      </c>
      <c r="AC15" s="29">
        <f ca="1">'SC-New'!W50</f>
        <v>1.6458206164477605E-2</v>
      </c>
      <c r="AD15" s="29">
        <f ca="1">'SC-New'!X50</f>
        <v>1.6531721492862902E-2</v>
      </c>
      <c r="AE15" s="29">
        <f ca="1">'SC-New'!Y50</f>
        <v>0.18278556625726611</v>
      </c>
      <c r="AF15" s="199">
        <f t="shared" si="2"/>
        <v>15.782126562784688</v>
      </c>
      <c r="AG15" s="199">
        <f t="shared" si="3"/>
        <v>13.952274476831256</v>
      </c>
      <c r="AH15" s="199">
        <f t="shared" si="4"/>
        <v>17.009680901026879</v>
      </c>
      <c r="AI15" s="199">
        <f t="shared" si="5"/>
        <v>17.66151174182901</v>
      </c>
      <c r="AJ15" s="199">
        <f t="shared" si="6"/>
        <v>20.213282520921691</v>
      </c>
      <c r="AK15" s="199">
        <f t="shared" si="7"/>
        <v>22.671819437326988</v>
      </c>
      <c r="AL15" s="199">
        <f t="shared" si="8"/>
        <v>19.041284959685882</v>
      </c>
      <c r="AM15" s="199">
        <f t="shared" si="9"/>
        <v>20.337058169953124</v>
      </c>
      <c r="AN15" s="199">
        <f t="shared" si="10"/>
        <v>18.156318403870539</v>
      </c>
      <c r="AO15" s="199">
        <f t="shared" si="11"/>
        <v>19.677710652405072</v>
      </c>
      <c r="AP15" s="199">
        <f t="shared" si="12"/>
        <v>18.283566411873121</v>
      </c>
      <c r="AQ15" s="199">
        <f t="shared" si="13"/>
        <v>16.328934888659941</v>
      </c>
      <c r="AR15" s="199"/>
      <c r="AS15" s="199">
        <f t="shared" si="14"/>
        <v>7.0791238865912787</v>
      </c>
      <c r="AT15" s="199">
        <f t="shared" si="15"/>
        <v>5.8433005707500358</v>
      </c>
      <c r="AU15" s="199">
        <f t="shared" si="16"/>
        <v>6.1832987588485828</v>
      </c>
      <c r="AV15" s="199">
        <f t="shared" si="17"/>
        <v>7.9484787662120802</v>
      </c>
      <c r="AW15" s="199">
        <f t="shared" si="18"/>
        <v>9.9285043341848311</v>
      </c>
      <c r="AX15" s="199">
        <f t="shared" si="19"/>
        <v>9.0504713187302794</v>
      </c>
      <c r="AY15" s="199">
        <f t="shared" si="20"/>
        <v>10.153629614895326</v>
      </c>
      <c r="AZ15" s="199">
        <f t="shared" si="21"/>
        <v>7.5939809631929096</v>
      </c>
      <c r="BA15" s="199">
        <f t="shared" si="22"/>
        <v>9.5948896602107876</v>
      </c>
      <c r="BB15" s="199">
        <f t="shared" si="23"/>
        <v>7.8876317861059704</v>
      </c>
      <c r="BC15" s="199">
        <f t="shared" si="24"/>
        <v>9.6145330494455212</v>
      </c>
      <c r="BD15" s="199">
        <f t="shared" si="25"/>
        <v>7.080454572594256</v>
      </c>
    </row>
    <row r="16" spans="1:56" ht="15">
      <c r="A16" s="56" t="str">
        <f>VLOOKUP(CONCATENATE($C16," - ",$B16),[2]ACHIEV!$B$12:$C$100,2,FALSE)</f>
        <v>LO3Slow</v>
      </c>
      <c r="B16" s="56" t="str">
        <f>'SC-New'!$C$7</f>
        <v>New</v>
      </c>
      <c r="C16" s="56" t="str">
        <f>'SC-NR'!$C$8</f>
        <v>HPWH</v>
      </c>
      <c r="D16" s="56" t="s">
        <v>546</v>
      </c>
      <c r="E16" s="56" t="str">
        <f>'SC-New'!$A$9</f>
        <v>Water Heating</v>
      </c>
      <c r="F16" s="198">
        <f t="shared" si="1"/>
        <v>4.5378780982980753E-2</v>
      </c>
      <c r="G16" s="58">
        <f>'SC-New'!A51</f>
        <v>203.91805256806657</v>
      </c>
      <c r="H16" s="58">
        <f>'SC-New'!B51</f>
        <v>663.83775968690907</v>
      </c>
      <c r="I16" s="7" t="str">
        <f>'SC-New'!C51</f>
        <v>Single Family</v>
      </c>
      <c r="J16" s="7" t="str">
        <f>'SC-New'!D51</f>
        <v>Single Family Tier2_buffered</v>
      </c>
      <c r="K16" s="29">
        <f ca="1">'SC-New'!E51</f>
        <v>1.1790371003277654E-3</v>
      </c>
      <c r="L16" s="29">
        <f ca="1">'SC-New'!F51</f>
        <v>2.9006037051030752E-3</v>
      </c>
      <c r="M16" s="29">
        <f ca="1">'SC-New'!G51</f>
        <v>6.1099542717286091E-3</v>
      </c>
      <c r="N16" s="29">
        <f ca="1">'SC-New'!H51</f>
        <v>1.160102637560646E-2</v>
      </c>
      <c r="O16" s="29">
        <f ca="1">'SC-New'!I51</f>
        <v>1.9902231710345129E-2</v>
      </c>
      <c r="P16" s="29">
        <f ca="1">'SC-New'!J51</f>
        <v>3.0451951196402094E-2</v>
      </c>
      <c r="Q16" s="29">
        <f ca="1">'SC-New'!K51</f>
        <v>4.3818596210113664E-2</v>
      </c>
      <c r="R16" s="29">
        <f ca="1">'SC-New'!L51</f>
        <v>6.011379444720634E-2</v>
      </c>
      <c r="S16" s="29">
        <f ca="1">'SC-New'!M51</f>
        <v>7.708490539427193E-2</v>
      </c>
      <c r="T16" s="29">
        <f ca="1">'SC-New'!N51</f>
        <v>9.6358491553240014E-2</v>
      </c>
      <c r="U16" s="29">
        <f ca="1">'SC-New'!O51</f>
        <v>0.11385809260466993</v>
      </c>
      <c r="V16" s="29">
        <f ca="1">'SC-New'!P51</f>
        <v>0.12693061722165017</v>
      </c>
      <c r="W16" s="29">
        <f ca="1">'SC-New'!Q51</f>
        <v>0.13522030520249059</v>
      </c>
      <c r="X16" s="29">
        <f ca="1">'SC-New'!R51</f>
        <v>0.1444324660870922</v>
      </c>
      <c r="Y16" s="29">
        <f ca="1">'SC-New'!S51</f>
        <v>0.15288044413388646</v>
      </c>
      <c r="Z16" s="29">
        <f ca="1">'SC-New'!T51</f>
        <v>0.15694211659661847</v>
      </c>
      <c r="AA16" s="29">
        <f ca="1">'SC-New'!U51</f>
        <v>0.1547889058911627</v>
      </c>
      <c r="AB16" s="29">
        <f ca="1">'SC-New'!V51</f>
        <v>0.15645436197752347</v>
      </c>
      <c r="AC16" s="29">
        <f ca="1">'SC-New'!W51</f>
        <v>0.15802966486608891</v>
      </c>
      <c r="AD16" s="29">
        <f ca="1">'SC-New'!X51</f>
        <v>0.15979432609200783</v>
      </c>
      <c r="AE16" s="29">
        <f ca="1">'SC-New'!Y51</f>
        <v>1.8088518926375357</v>
      </c>
      <c r="AF16" s="199">
        <f t="shared" si="2"/>
        <v>10.149876208402597</v>
      </c>
      <c r="AG16" s="199">
        <f t="shared" si="3"/>
        <v>8.9730530662691841</v>
      </c>
      <c r="AH16" s="199">
        <f t="shared" si="4"/>
        <v>10.939346678109818</v>
      </c>
      <c r="AI16" s="199">
        <f t="shared" si="5"/>
        <v>11.358555273184523</v>
      </c>
      <c r="AJ16" s="199">
        <f t="shared" si="6"/>
        <v>12.999662076586489</v>
      </c>
      <c r="AK16" s="199">
        <f t="shared" si="7"/>
        <v>14.580807939067002</v>
      </c>
      <c r="AL16" s="199">
        <f t="shared" si="8"/>
        <v>12.245922342862244</v>
      </c>
      <c r="AM16" s="199">
        <f t="shared" si="9"/>
        <v>13.079266144361652</v>
      </c>
      <c r="AN16" s="199">
        <f t="shared" si="10"/>
        <v>11.676777840264311</v>
      </c>
      <c r="AO16" s="199">
        <f t="shared" si="11"/>
        <v>12.655222505177912</v>
      </c>
      <c r="AP16" s="199">
        <f t="shared" si="12"/>
        <v>11.758613934831045</v>
      </c>
      <c r="AQ16" s="199">
        <f t="shared" si="13"/>
        <v>10.501542185928354</v>
      </c>
      <c r="AR16" s="199"/>
      <c r="AS16" s="199">
        <f t="shared" si="14"/>
        <v>4.5527600354564619</v>
      </c>
      <c r="AT16" s="199">
        <f t="shared" si="15"/>
        <v>3.757971407101738</v>
      </c>
      <c r="AU16" s="199">
        <f t="shared" si="16"/>
        <v>3.9766325891649101</v>
      </c>
      <c r="AV16" s="199">
        <f t="shared" si="17"/>
        <v>5.1118635292260377</v>
      </c>
      <c r="AW16" s="199">
        <f t="shared" si="18"/>
        <v>6.3852667796915084</v>
      </c>
      <c r="AX16" s="199">
        <f t="shared" si="19"/>
        <v>5.8205819804113093</v>
      </c>
      <c r="AY16" s="199">
        <f t="shared" si="20"/>
        <v>6.530050664295322</v>
      </c>
      <c r="AZ16" s="199">
        <f t="shared" si="21"/>
        <v>4.8838772046635963</v>
      </c>
      <c r="BA16" s="199">
        <f t="shared" si="22"/>
        <v>6.1707110230370699</v>
      </c>
      <c r="BB16" s="199">
        <f t="shared" si="23"/>
        <v>5.072731167466987</v>
      </c>
      <c r="BC16" s="199">
        <f t="shared" si="24"/>
        <v>6.1833441880137014</v>
      </c>
      <c r="BD16" s="199">
        <f t="shared" si="25"/>
        <v>4.5536158044927753</v>
      </c>
    </row>
    <row r="17" spans="1:56" ht="15">
      <c r="A17" s="56" t="str">
        <f>VLOOKUP(CONCATENATE($C17," - ",$B17),[2]ACHIEV!$B$12:$C$100,2,FALSE)</f>
        <v>LO3Slow</v>
      </c>
      <c r="B17" s="56" t="str">
        <f>'SC-New'!$C$7</f>
        <v>New</v>
      </c>
      <c r="C17" s="56" t="str">
        <f>'SC-NR'!$C$8</f>
        <v>HPWH</v>
      </c>
      <c r="D17" s="56" t="s">
        <v>546</v>
      </c>
      <c r="E17" s="56" t="str">
        <f>'SC-New'!$A$9</f>
        <v>Water Heating</v>
      </c>
      <c r="F17" s="198">
        <f t="shared" si="1"/>
        <v>1.988306430462353E-2</v>
      </c>
      <c r="G17" s="58">
        <f>'SC-New'!A52</f>
        <v>87.931784673528639</v>
      </c>
      <c r="H17" s="58">
        <f>'SC-New'!B52</f>
        <v>1607.3377066669348</v>
      </c>
      <c r="I17" s="7" t="str">
        <f>'SC-New'!C52</f>
        <v>Manufactured</v>
      </c>
      <c r="J17" s="7" t="str">
        <f>'SC-New'!D52</f>
        <v>Manufactured Tier2_indor2_gfac</v>
      </c>
      <c r="K17" s="29">
        <f ca="1">'SC-New'!E52</f>
        <v>7.9014441313761302E-7</v>
      </c>
      <c r="L17" s="29">
        <f ca="1">'SC-New'!F52</f>
        <v>2.0454618802674832E-6</v>
      </c>
      <c r="M17" s="29">
        <f ca="1">'SC-New'!G52</f>
        <v>4.708431460560662E-6</v>
      </c>
      <c r="N17" s="29">
        <f ca="1">'SC-New'!H52</f>
        <v>9.5821744489720889E-6</v>
      </c>
      <c r="O17" s="29">
        <f ca="1">'SC-New'!I52</f>
        <v>1.6377170473546011E-5</v>
      </c>
      <c r="P17" s="29">
        <f ca="1">'SC-New'!J52</f>
        <v>2.5884488758024184E-5</v>
      </c>
      <c r="Q17" s="29">
        <f ca="1">'SC-New'!K52</f>
        <v>3.8440617734626551E-5</v>
      </c>
      <c r="R17" s="29">
        <f ca="1">'SC-New'!L52</f>
        <v>5.3287860861649259E-5</v>
      </c>
      <c r="S17" s="29">
        <f ca="1">'SC-New'!M52</f>
        <v>6.9422909621489405E-5</v>
      </c>
      <c r="T17" s="29">
        <f ca="1">'SC-New'!N52</f>
        <v>8.5319339466975906E-5</v>
      </c>
      <c r="U17" s="29">
        <f ca="1">'SC-New'!O52</f>
        <v>9.9574591829775446E-5</v>
      </c>
      <c r="V17" s="29">
        <f ca="1">'SC-New'!P52</f>
        <v>1.1233259981532674E-4</v>
      </c>
      <c r="W17" s="29">
        <f ca="1">'SC-New'!Q52</f>
        <v>1.2310014230828005E-4</v>
      </c>
      <c r="X17" s="29">
        <f ca="1">'SC-New'!R52</f>
        <v>1.314963641413376E-4</v>
      </c>
      <c r="Y17" s="29">
        <f ca="1">'SC-New'!S52</f>
        <v>1.3763207016674611E-4</v>
      </c>
      <c r="Z17" s="29">
        <f ca="1">'SC-New'!T52</f>
        <v>1.4182406133164319E-4</v>
      </c>
      <c r="AA17" s="29">
        <f ca="1">'SC-New'!U52</f>
        <v>1.4456549753493991E-4</v>
      </c>
      <c r="AB17" s="29">
        <f ca="1">'SC-New'!V52</f>
        <v>1.4638754440046022E-4</v>
      </c>
      <c r="AC17" s="29">
        <f ca="1">'SC-New'!W52</f>
        <v>1.4753172991053011E-4</v>
      </c>
      <c r="AD17" s="29">
        <f ca="1">'SC-New'!X52</f>
        <v>1.4819072296622733E-4</v>
      </c>
      <c r="AE17" s="29">
        <f ca="1">'SC-New'!Y52</f>
        <v>1.6384939235245157E-3</v>
      </c>
      <c r="AF17" s="199">
        <f t="shared" si="2"/>
        <v>4.4621170025817971</v>
      </c>
      <c r="AG17" s="199">
        <f t="shared" si="3"/>
        <v>3.9907241749174851</v>
      </c>
      <c r="AH17" s="199">
        <f t="shared" si="4"/>
        <v>4.9331803476805884</v>
      </c>
      <c r="AI17" s="199">
        <f t="shared" si="5"/>
        <v>5.1317317668862552</v>
      </c>
      <c r="AJ17" s="199">
        <f t="shared" si="6"/>
        <v>5.8494593362591569</v>
      </c>
      <c r="AK17" s="199">
        <f t="shared" si="7"/>
        <v>6.6138730218939665</v>
      </c>
      <c r="AL17" s="199">
        <f t="shared" si="8"/>
        <v>4.3320399221810888</v>
      </c>
      <c r="AM17" s="199">
        <f t="shared" si="9"/>
        <v>4.7183618942942491</v>
      </c>
      <c r="AN17" s="199">
        <f t="shared" si="10"/>
        <v>4.8718747688198523</v>
      </c>
      <c r="AO17" s="199">
        <f t="shared" si="11"/>
        <v>5.71219594383036</v>
      </c>
      <c r="AP17" s="199">
        <f t="shared" si="12"/>
        <v>5.3225672232719363</v>
      </c>
      <c r="AQ17" s="199">
        <f t="shared" si="13"/>
        <v>4.5778048168534164</v>
      </c>
      <c r="AR17" s="199"/>
      <c r="AS17" s="199">
        <f t="shared" si="14"/>
        <v>1.9458195138550061</v>
      </c>
      <c r="AT17" s="199">
        <f t="shared" si="15"/>
        <v>1.6205552925196796</v>
      </c>
      <c r="AU17" s="199">
        <f t="shared" si="16"/>
        <v>1.7550370151070496</v>
      </c>
      <c r="AV17" s="199">
        <f t="shared" si="17"/>
        <v>2.2927856557601851</v>
      </c>
      <c r="AW17" s="199">
        <f t="shared" si="18"/>
        <v>2.901995672882161</v>
      </c>
      <c r="AX17" s="199">
        <f t="shared" si="19"/>
        <v>2.6742904686821758</v>
      </c>
      <c r="AY17" s="199">
        <f t="shared" si="20"/>
        <v>2.6101601721770824</v>
      </c>
      <c r="AZ17" s="199">
        <f t="shared" si="21"/>
        <v>1.9818801233807122</v>
      </c>
      <c r="BA17" s="199">
        <f t="shared" si="22"/>
        <v>2.6627017597330278</v>
      </c>
      <c r="BB17" s="199">
        <f t="shared" si="23"/>
        <v>2.2841789599926092</v>
      </c>
      <c r="BC17" s="199">
        <f t="shared" si="24"/>
        <v>2.7743075044011234</v>
      </c>
      <c r="BD17" s="199">
        <f t="shared" si="25"/>
        <v>1.91214231556765</v>
      </c>
    </row>
    <row r="18" spans="1:56" ht="15">
      <c r="A18" s="56" t="str">
        <f>VLOOKUP(CONCATENATE($C18," - ",$B18),[2]ACHIEV!$B$12:$C$100,2,FALSE)</f>
        <v>LO3Slow</v>
      </c>
      <c r="B18" s="56" t="str">
        <f>'SC-New'!$C$7</f>
        <v>New</v>
      </c>
      <c r="C18" s="56" t="str">
        <f>'SC-NR'!$C$8</f>
        <v>HPWH</v>
      </c>
      <c r="D18" s="56" t="s">
        <v>546</v>
      </c>
      <c r="E18" s="56" t="str">
        <f>'SC-New'!$A$9</f>
        <v>Water Heating</v>
      </c>
      <c r="F18" s="198">
        <f t="shared" si="1"/>
        <v>1.9634090668074949E-2</v>
      </c>
      <c r="G18" s="58">
        <f>'SC-New'!A53</f>
        <v>86.718840456148499</v>
      </c>
      <c r="H18" s="58">
        <f>'SC-New'!B53</f>
        <v>1630.5015291600657</v>
      </c>
      <c r="I18" s="7" t="str">
        <f>'SC-New'!C53</f>
        <v>Single Family</v>
      </c>
      <c r="J18" s="7" t="str">
        <f>'SC-New'!D53</f>
        <v>Single Family Tier2_indor2_gfac</v>
      </c>
      <c r="K18" s="29">
        <f ca="1">'SC-New'!E53</f>
        <v>1.1822811018994183E-4</v>
      </c>
      <c r="L18" s="29">
        <f ca="1">'SC-New'!F53</f>
        <v>2.9085844234159094E-4</v>
      </c>
      <c r="M18" s="29">
        <f ca="1">'SC-New'!G53</f>
        <v>6.1267651941793991E-4</v>
      </c>
      <c r="N18" s="29">
        <f ca="1">'SC-New'!H53</f>
        <v>1.163294542869206E-3</v>
      </c>
      <c r="O18" s="29">
        <f ca="1">'SC-New'!I53</f>
        <v>1.9956990692000425E-3</v>
      </c>
      <c r="P18" s="29">
        <f ca="1">'SC-New'!J53</f>
        <v>3.0535736666353424E-3</v>
      </c>
      <c r="Q18" s="29">
        <f ca="1">'SC-New'!K53</f>
        <v>4.3939158654614958E-3</v>
      </c>
      <c r="R18" s="29">
        <f ca="1">'SC-New'!L53</f>
        <v>6.0279191484848777E-3</v>
      </c>
      <c r="S18" s="29">
        <f ca="1">'SC-New'!M53</f>
        <v>7.7296996730651596E-3</v>
      </c>
      <c r="T18" s="29">
        <f ca="1">'SC-New'!N53</f>
        <v>9.6623612216494709E-3</v>
      </c>
      <c r="U18" s="29">
        <f ca="1">'SC-New'!O53</f>
        <v>1.141713616538392E-2</v>
      </c>
      <c r="V18" s="29">
        <f ca="1">'SC-New'!P53</f>
        <v>1.2727985400278577E-2</v>
      </c>
      <c r="W18" s="29">
        <f ca="1">'SC-New'!Q53</f>
        <v>1.3559235022335914E-2</v>
      </c>
      <c r="X18" s="29">
        <f ca="1">'SC-New'!R53</f>
        <v>1.4482985743877569E-2</v>
      </c>
      <c r="Y18" s="29">
        <f ca="1">'SC-New'!S53</f>
        <v>1.5330107924444189E-2</v>
      </c>
      <c r="Z18" s="29">
        <f ca="1">'SC-New'!T53</f>
        <v>1.5737392698897713E-2</v>
      </c>
      <c r="AA18" s="29">
        <f ca="1">'SC-New'!U53</f>
        <v>1.5521479194160654E-2</v>
      </c>
      <c r="AB18" s="29">
        <f ca="1">'SC-New'!V53</f>
        <v>1.5688483036228079E-2</v>
      </c>
      <c r="AC18" s="29">
        <f ca="1">'SC-New'!W53</f>
        <v>1.5846446753773585E-2</v>
      </c>
      <c r="AD18" s="29">
        <f ca="1">'SC-New'!X53</f>
        <v>1.6023398405089616E-2</v>
      </c>
      <c r="AE18" s="29">
        <f ca="1">'SC-New'!Y53</f>
        <v>0.18138287660378491</v>
      </c>
      <c r="AF18" s="199">
        <f t="shared" si="2"/>
        <v>4.40652966169728</v>
      </c>
      <c r="AG18" s="199">
        <f t="shared" si="3"/>
        <v>3.9418928952139884</v>
      </c>
      <c r="AH18" s="199">
        <f t="shared" si="4"/>
        <v>4.8741083159519221</v>
      </c>
      <c r="AI18" s="199">
        <f t="shared" si="5"/>
        <v>5.0698363499172565</v>
      </c>
      <c r="AJ18" s="199">
        <f t="shared" si="6"/>
        <v>5.7761167701386666</v>
      </c>
      <c r="AK18" s="199">
        <f t="shared" si="7"/>
        <v>6.5319379527542214</v>
      </c>
      <c r="AL18" s="199">
        <f t="shared" si="8"/>
        <v>4.2341868208024973</v>
      </c>
      <c r="AM18" s="199">
        <f t="shared" si="9"/>
        <v>4.6159928614939272</v>
      </c>
      <c r="AN18" s="199">
        <f t="shared" si="10"/>
        <v>4.7965837919560901</v>
      </c>
      <c r="AO18" s="199">
        <f t="shared" si="11"/>
        <v>5.6421886398170855</v>
      </c>
      <c r="AP18" s="199">
        <f t="shared" si="12"/>
        <v>5.2592060454350387</v>
      </c>
      <c r="AQ18" s="199">
        <f t="shared" si="13"/>
        <v>4.5200282348361904</v>
      </c>
      <c r="AR18" s="199"/>
      <c r="AS18" s="199">
        <f t="shared" si="14"/>
        <v>1.920508909109689</v>
      </c>
      <c r="AT18" s="199">
        <f t="shared" si="15"/>
        <v>1.5997608235075464</v>
      </c>
      <c r="AU18" s="199">
        <f t="shared" si="16"/>
        <v>1.7333045190706449</v>
      </c>
      <c r="AV18" s="199">
        <f t="shared" si="17"/>
        <v>2.264925158948274</v>
      </c>
      <c r="AW18" s="199">
        <f t="shared" si="18"/>
        <v>2.8667361324749812</v>
      </c>
      <c r="AX18" s="199">
        <f t="shared" si="19"/>
        <v>2.6424189964194382</v>
      </c>
      <c r="AY18" s="199">
        <f t="shared" si="20"/>
        <v>2.5650657678398647</v>
      </c>
      <c r="AZ18" s="199">
        <f t="shared" si="21"/>
        <v>1.948851762212976</v>
      </c>
      <c r="BA18" s="199">
        <f t="shared" si="22"/>
        <v>2.625020074505314</v>
      </c>
      <c r="BB18" s="199">
        <f t="shared" si="23"/>
        <v>2.2562211879938032</v>
      </c>
      <c r="BC18" s="199">
        <f t="shared" si="24"/>
        <v>2.7408221713586327</v>
      </c>
      <c r="BD18" s="199">
        <f t="shared" si="25"/>
        <v>1.8865966126931486</v>
      </c>
    </row>
    <row r="19" spans="1:56" ht="15">
      <c r="A19" s="56" t="str">
        <f>VLOOKUP(CONCATENATE($C19," - ",$B19),[2]ACHIEV!$B$12:$C$100,2,FALSE)</f>
        <v>LO3Slow</v>
      </c>
      <c r="B19" s="56" t="str">
        <f>'SC-New'!$C$7</f>
        <v>New</v>
      </c>
      <c r="C19" s="56" t="str">
        <f>'SC-NR'!$C$8</f>
        <v>HPWH</v>
      </c>
      <c r="D19" s="56" t="s">
        <v>546</v>
      </c>
      <c r="E19" s="56" t="str">
        <f>'SC-New'!$A$9</f>
        <v>Water Heating</v>
      </c>
      <c r="F19" s="198">
        <f t="shared" si="1"/>
        <v>1.8631276675208853E-2</v>
      </c>
      <c r="G19" s="58">
        <f>'SC-New'!A54</f>
        <v>87.018336528396802</v>
      </c>
      <c r="H19" s="58">
        <f>'SC-New'!B54</f>
        <v>1624.0877492683064</v>
      </c>
      <c r="I19" s="7" t="str">
        <f>'SC-New'!C54</f>
        <v>Manufactured</v>
      </c>
      <c r="J19" s="7" t="str">
        <f>'SC-New'!D54</f>
        <v>Manufactured Tier2_indor2_gfnc</v>
      </c>
      <c r="K19" s="29">
        <f ca="1">'SC-New'!E54</f>
        <v>5.7341993739118964E-6</v>
      </c>
      <c r="L19" s="29">
        <f ca="1">'SC-New'!F54</f>
        <v>1.4844231052162987E-5</v>
      </c>
      <c r="M19" s="29">
        <f ca="1">'SC-New'!G54</f>
        <v>3.4169810333838073E-5</v>
      </c>
      <c r="N19" s="29">
        <f ca="1">'SC-New'!H54</f>
        <v>6.9539311817472558E-5</v>
      </c>
      <c r="O19" s="29">
        <f ca="1">'SC-New'!I54</f>
        <v>1.1885164169287163E-4</v>
      </c>
      <c r="P19" s="29">
        <f ca="1">'SC-New'!J54</f>
        <v>1.8784771082655429E-4</v>
      </c>
      <c r="Q19" s="29">
        <f ca="1">'SC-New'!K54</f>
        <v>2.7896946745644113E-4</v>
      </c>
      <c r="R19" s="29">
        <f ca="1">'SC-New'!L54</f>
        <v>3.8671819139567327E-4</v>
      </c>
      <c r="S19" s="29">
        <f ca="1">'SC-New'!M54</f>
        <v>5.0381271862179897E-4</v>
      </c>
      <c r="T19" s="29">
        <f ca="1">'SC-New'!N54</f>
        <v>6.1917555173411469E-4</v>
      </c>
      <c r="U19" s="29">
        <f ca="1">'SC-New'!O54</f>
        <v>7.226281077664067E-4</v>
      </c>
      <c r="V19" s="29">
        <f ca="1">'SC-New'!P54</f>
        <v>8.152149313732579E-4</v>
      </c>
      <c r="W19" s="29">
        <f ca="1">'SC-New'!Q54</f>
        <v>8.9335664116081974E-4</v>
      </c>
      <c r="X19" s="29">
        <f ca="1">'SC-New'!R54</f>
        <v>9.542893126798914E-4</v>
      </c>
      <c r="Y19" s="29">
        <f ca="1">'SC-New'!S54</f>
        <v>9.9881707376307631E-4</v>
      </c>
      <c r="Z19" s="29">
        <f ca="1">'SC-New'!T54</f>
        <v>1.0292389975450147E-3</v>
      </c>
      <c r="AA19" s="29">
        <f ca="1">'SC-New'!U54</f>
        <v>1.0491340211624578E-3</v>
      </c>
      <c r="AB19" s="29">
        <f ca="1">'SC-New'!V54</f>
        <v>1.0623568951356047E-3</v>
      </c>
      <c r="AC19" s="29">
        <f ca="1">'SC-New'!W54</f>
        <v>1.0706604251313791E-3</v>
      </c>
      <c r="AD19" s="29">
        <f ca="1">'SC-New'!X54</f>
        <v>1.0754428389592333E-3</v>
      </c>
      <c r="AE19" s="29">
        <f ca="1">'SC-New'!Y54</f>
        <v>1.1890802078981981E-2</v>
      </c>
      <c r="AF19" s="199">
        <f t="shared" si="2"/>
        <v>4.1808473782624676</v>
      </c>
      <c r="AG19" s="199">
        <f t="shared" si="3"/>
        <v>3.7381029064364859</v>
      </c>
      <c r="AH19" s="199">
        <f t="shared" si="4"/>
        <v>4.6193419217376945</v>
      </c>
      <c r="AI19" s="199">
        <f t="shared" si="5"/>
        <v>4.8389187556601723</v>
      </c>
      <c r="AJ19" s="199">
        <f t="shared" si="6"/>
        <v>5.6436170482481698</v>
      </c>
      <c r="AK19" s="199">
        <f t="shared" si="7"/>
        <v>6.380062922280918</v>
      </c>
      <c r="AL19" s="199">
        <f t="shared" si="8"/>
        <v>5.3682893702953978</v>
      </c>
      <c r="AM19" s="199">
        <f t="shared" si="9"/>
        <v>5.7345236442262362</v>
      </c>
      <c r="AN19" s="199">
        <f t="shared" si="10"/>
        <v>5.0904242602258645</v>
      </c>
      <c r="AO19" s="199">
        <f t="shared" si="11"/>
        <v>5.4412300512594483</v>
      </c>
      <c r="AP19" s="199">
        <f t="shared" si="12"/>
        <v>4.9835062418766762</v>
      </c>
      <c r="AQ19" s="199">
        <f t="shared" si="13"/>
        <v>4.2901451577621321</v>
      </c>
      <c r="AR19" s="199"/>
      <c r="AS19" s="199">
        <f t="shared" si="14"/>
        <v>1.8244558591426354</v>
      </c>
      <c r="AT19" s="199">
        <f t="shared" si="15"/>
        <v>1.5191348196145082</v>
      </c>
      <c r="AU19" s="199">
        <f t="shared" si="16"/>
        <v>1.6442501057438708</v>
      </c>
      <c r="AV19" s="199">
        <f t="shared" si="17"/>
        <v>2.1565641388321395</v>
      </c>
      <c r="AW19" s="199">
        <f t="shared" si="18"/>
        <v>2.7674411037942686</v>
      </c>
      <c r="AX19" s="199">
        <f t="shared" si="19"/>
        <v>2.5451184476054163</v>
      </c>
      <c r="AY19" s="199">
        <f t="shared" si="20"/>
        <v>2.8624954935223559</v>
      </c>
      <c r="AZ19" s="199">
        <f t="shared" si="21"/>
        <v>2.1410623480508408</v>
      </c>
      <c r="BA19" s="199">
        <f t="shared" si="22"/>
        <v>2.6886106034157007</v>
      </c>
      <c r="BB19" s="199">
        <f t="shared" si="23"/>
        <v>2.1683716548970273</v>
      </c>
      <c r="BC19" s="199">
        <f t="shared" si="24"/>
        <v>2.5981311223950496</v>
      </c>
      <c r="BD19" s="199">
        <f t="shared" si="25"/>
        <v>1.7936911731113003</v>
      </c>
    </row>
    <row r="20" spans="1:56" ht="15">
      <c r="A20" s="56" t="str">
        <f>VLOOKUP(CONCATENATE($C20," - ",$B20),[2]ACHIEV!$B$12:$C$100,2,FALSE)</f>
        <v>LO3Slow</v>
      </c>
      <c r="B20" s="56" t="str">
        <f>'SC-New'!$C$7</f>
        <v>New</v>
      </c>
      <c r="C20" s="56" t="str">
        <f>'SC-NR'!$C$8</f>
        <v>HPWH</v>
      </c>
      <c r="D20" s="56" t="s">
        <v>546</v>
      </c>
      <c r="E20" s="56" t="str">
        <f>'SC-New'!$A$9</f>
        <v>Water Heating</v>
      </c>
      <c r="F20" s="198">
        <f t="shared" si="1"/>
        <v>1.8500463749028924E-2</v>
      </c>
      <c r="G20" s="58">
        <f>'SC-New'!A55</f>
        <v>86.442796713311679</v>
      </c>
      <c r="H20" s="58">
        <f>'SC-New'!B55</f>
        <v>1635.6197766937105</v>
      </c>
      <c r="I20" s="7" t="str">
        <f>'SC-New'!C55</f>
        <v>Single Family</v>
      </c>
      <c r="J20" s="7" t="str">
        <f>'SC-New'!D55</f>
        <v>Single Family Tier2_indor2_gfnc</v>
      </c>
      <c r="K20" s="29">
        <f ca="1">'SC-New'!E55</f>
        <v>1.9228446034812814E-4</v>
      </c>
      <c r="L20" s="29">
        <f ca="1">'SC-New'!F55</f>
        <v>4.7304789473077394E-4</v>
      </c>
      <c r="M20" s="29">
        <f ca="1">'SC-New'!G55</f>
        <v>9.9644808425831087E-4</v>
      </c>
      <c r="N20" s="29">
        <f ca="1">'SC-New'!H55</f>
        <v>1.8919651429948796E-3</v>
      </c>
      <c r="O20" s="29">
        <f ca="1">'SC-New'!I55</f>
        <v>3.2457756274872638E-3</v>
      </c>
      <c r="P20" s="29">
        <f ca="1">'SC-New'!J55</f>
        <v>4.966287321001123E-3</v>
      </c>
      <c r="Q20" s="29">
        <f ca="1">'SC-New'!K55</f>
        <v>7.1462001688767547E-3</v>
      </c>
      <c r="R20" s="29">
        <f ca="1">'SC-New'!L55</f>
        <v>9.803719086995696E-3</v>
      </c>
      <c r="S20" s="29">
        <f ca="1">'SC-New'!M55</f>
        <v>1.2571469914393363E-2</v>
      </c>
      <c r="T20" s="29">
        <f ca="1">'SC-New'!N55</f>
        <v>1.5714722245062242E-2</v>
      </c>
      <c r="U20" s="29">
        <f ca="1">'SC-New'!O55</f>
        <v>1.8568662416704268E-2</v>
      </c>
      <c r="V20" s="29">
        <f ca="1">'SC-New'!P55</f>
        <v>2.0700608341616123E-2</v>
      </c>
      <c r="W20" s="29">
        <f ca="1">'SC-New'!Q55</f>
        <v>2.2052540506776266E-2</v>
      </c>
      <c r="X20" s="29">
        <f ca="1">'SC-New'!R55</f>
        <v>2.3554915100284252E-2</v>
      </c>
      <c r="Y20" s="29">
        <f ca="1">'SC-New'!S55</f>
        <v>2.4932662161262307E-2</v>
      </c>
      <c r="Z20" s="29">
        <f ca="1">'SC-New'!T55</f>
        <v>2.559506413096297E-2</v>
      </c>
      <c r="AA20" s="29">
        <f ca="1">'SC-New'!U55</f>
        <v>2.5243905580990905E-2</v>
      </c>
      <c r="AB20" s="29">
        <f ca="1">'SC-New'!V55</f>
        <v>2.5515518174615278E-2</v>
      </c>
      <c r="AC20" s="29">
        <f ca="1">'SC-New'!W55</f>
        <v>2.5772428042615571E-2</v>
      </c>
      <c r="AD20" s="29">
        <f ca="1">'SC-New'!X55</f>
        <v>2.6060219606959693E-2</v>
      </c>
      <c r="AE20" s="29">
        <f ca="1">'SC-New'!Y55</f>
        <v>0.29499844400893616</v>
      </c>
      <c r="AF20" s="199">
        <f t="shared" si="2"/>
        <v>4.1516391288572629</v>
      </c>
      <c r="AG20" s="199">
        <f t="shared" si="3"/>
        <v>3.7124378816716614</v>
      </c>
      <c r="AH20" s="199">
        <f t="shared" si="4"/>
        <v>4.5882844856826575</v>
      </c>
      <c r="AI20" s="199">
        <f t="shared" si="5"/>
        <v>4.8068299232196363</v>
      </c>
      <c r="AJ20" s="199">
        <f t="shared" si="6"/>
        <v>5.6072857472458155</v>
      </c>
      <c r="AK20" s="199">
        <f t="shared" si="7"/>
        <v>6.3394992276689912</v>
      </c>
      <c r="AL20" s="199">
        <f t="shared" si="8"/>
        <v>5.3342582145942945</v>
      </c>
      <c r="AM20" s="199">
        <f t="shared" si="9"/>
        <v>5.6981800696064164</v>
      </c>
      <c r="AN20" s="199">
        <f t="shared" si="10"/>
        <v>5.0578689218721955</v>
      </c>
      <c r="AO20" s="199">
        <f t="shared" si="11"/>
        <v>5.4056642191415216</v>
      </c>
      <c r="AP20" s="199">
        <f t="shared" si="12"/>
        <v>4.95019080312355</v>
      </c>
      <c r="AQ20" s="199">
        <f t="shared" si="13"/>
        <v>4.2597922763995353</v>
      </c>
      <c r="AR20" s="199"/>
      <c r="AS20" s="199">
        <f t="shared" si="14"/>
        <v>1.811164611929301</v>
      </c>
      <c r="AT20" s="199">
        <f t="shared" si="15"/>
        <v>1.508213029680243</v>
      </c>
      <c r="AU20" s="199">
        <f t="shared" si="16"/>
        <v>1.6328298133318722</v>
      </c>
      <c r="AV20" s="199">
        <f t="shared" si="17"/>
        <v>2.1420437473375995</v>
      </c>
      <c r="AW20" s="199">
        <f t="shared" si="18"/>
        <v>2.7495783605971491</v>
      </c>
      <c r="AX20" s="199">
        <f t="shared" si="19"/>
        <v>2.5289190338701562</v>
      </c>
      <c r="AY20" s="199">
        <f t="shared" si="20"/>
        <v>2.8443482250319554</v>
      </c>
      <c r="AZ20" s="199">
        <f t="shared" si="21"/>
        <v>2.1274905284165162</v>
      </c>
      <c r="BA20" s="199">
        <f t="shared" si="22"/>
        <v>2.671400902434514</v>
      </c>
      <c r="BB20" s="199">
        <f t="shared" si="23"/>
        <v>2.1540680519833866</v>
      </c>
      <c r="BC20" s="199">
        <f t="shared" si="24"/>
        <v>2.5805281272038858</v>
      </c>
      <c r="BD20" s="199">
        <f t="shared" si="25"/>
        <v>1.7802813824115473</v>
      </c>
    </row>
    <row r="21" spans="1:56" ht="15">
      <c r="A21" s="56" t="str">
        <f>VLOOKUP(CONCATENATE($C21," - ",$B21),[2]ACHIEV!$B$12:$C$100,2,FALSE)</f>
        <v>LO3Slow</v>
      </c>
      <c r="B21" s="56" t="str">
        <f>'SC-New'!$C$7</f>
        <v>New</v>
      </c>
      <c r="C21" s="56" t="str">
        <f>'SC-NR'!$C$8</f>
        <v>HPWH</v>
      </c>
      <c r="D21" s="56" t="s">
        <v>546</v>
      </c>
      <c r="E21" s="56" t="str">
        <f>'SC-New'!$A$9</f>
        <v>Water Heating</v>
      </c>
      <c r="F21" s="198">
        <f t="shared" si="1"/>
        <v>2.1282420994286143E-2</v>
      </c>
      <c r="G21" s="58">
        <f>'SC-New'!A56</f>
        <v>50.096541596068619</v>
      </c>
      <c r="H21" s="58">
        <f>'SC-New'!B56</f>
        <v>2752.9917395427819</v>
      </c>
      <c r="I21" s="7" t="str">
        <f>'SC-New'!C56</f>
        <v>Manufactured</v>
      </c>
      <c r="J21" s="7" t="str">
        <f>'SC-New'!D56</f>
        <v>Manufactured Tier2_indor2_hp85</v>
      </c>
      <c r="K21" s="29">
        <f ca="1">'SC-New'!E56</f>
        <v>2.0600026043921478E-6</v>
      </c>
      <c r="L21" s="29">
        <f ca="1">'SC-New'!F56</f>
        <v>5.3327679478283126E-6</v>
      </c>
      <c r="M21" s="29">
        <f ca="1">'SC-New'!G56</f>
        <v>1.2275453588086847E-5</v>
      </c>
      <c r="N21" s="29">
        <f ca="1">'SC-New'!H56</f>
        <v>2.4981894439067008E-5</v>
      </c>
      <c r="O21" s="29">
        <f ca="1">'SC-New'!I56</f>
        <v>4.2697275671559115E-5</v>
      </c>
      <c r="P21" s="29">
        <f ca="1">'SC-New'!J56</f>
        <v>6.7484010983701531E-5</v>
      </c>
      <c r="Q21" s="29">
        <f ca="1">'SC-New'!K56</f>
        <v>1.0021936665137461E-4</v>
      </c>
      <c r="R21" s="29">
        <f ca="1">'SC-New'!L56</f>
        <v>1.3892793561822673E-4</v>
      </c>
      <c r="S21" s="29">
        <f ca="1">'SC-New'!M56</f>
        <v>1.8099397052857692E-4</v>
      </c>
      <c r="T21" s="29">
        <f ca="1">'SC-New'!N56</f>
        <v>2.2243789690173734E-4</v>
      </c>
      <c r="U21" s="29">
        <f ca="1">'SC-New'!O56</f>
        <v>2.5960307393187594E-4</v>
      </c>
      <c r="V21" s="29">
        <f ca="1">'SC-New'!P56</f>
        <v>2.9286475273401948E-4</v>
      </c>
      <c r="W21" s="29">
        <f ca="1">'SC-New'!Q56</f>
        <v>3.2093704586117963E-4</v>
      </c>
      <c r="X21" s="29">
        <f ca="1">'SC-New'!R56</f>
        <v>3.4282701756201139E-4</v>
      </c>
      <c r="Y21" s="29">
        <f ca="1">'SC-New'!S56</f>
        <v>3.5882354956549069E-4</v>
      </c>
      <c r="Z21" s="29">
        <f ca="1">'SC-New'!T56</f>
        <v>3.6975258047894821E-4</v>
      </c>
      <c r="AA21" s="29">
        <f ca="1">'SC-New'!U56</f>
        <v>3.7689983815067043E-4</v>
      </c>
      <c r="AB21" s="29">
        <f ca="1">'SC-New'!V56</f>
        <v>3.8165013597710428E-4</v>
      </c>
      <c r="AC21" s="29">
        <f ca="1">'SC-New'!W56</f>
        <v>3.8463316678952506E-4</v>
      </c>
      <c r="AD21" s="29">
        <f ca="1">'SC-New'!X56</f>
        <v>3.863512418507939E-4</v>
      </c>
      <c r="AE21" s="29">
        <f ca="1">'SC-New'!Y56</f>
        <v>4.2717529778361699E-3</v>
      </c>
      <c r="AF21" s="199">
        <f t="shared" si="2"/>
        <v>4.7602410155417694</v>
      </c>
      <c r="AG21" s="199">
        <f t="shared" si="3"/>
        <v>4.2083169111409191</v>
      </c>
      <c r="AH21" s="199">
        <f t="shared" si="4"/>
        <v>5.1304989062639592</v>
      </c>
      <c r="AI21" s="199">
        <f t="shared" si="5"/>
        <v>4.9910125892277959</v>
      </c>
      <c r="AJ21" s="199">
        <f t="shared" si="6"/>
        <v>4.4496607033250806</v>
      </c>
      <c r="AK21" s="199">
        <f t="shared" si="7"/>
        <v>4.9746595560278779</v>
      </c>
      <c r="AL21" s="199">
        <f t="shared" si="8"/>
        <v>-7.0065244096157615</v>
      </c>
      <c r="AM21" s="199">
        <f t="shared" si="9"/>
        <v>-6.6625949310919781</v>
      </c>
      <c r="AN21" s="199">
        <f t="shared" si="10"/>
        <v>0.32076401084930728</v>
      </c>
      <c r="AO21" s="199">
        <f t="shared" si="11"/>
        <v>5.0169062453719624</v>
      </c>
      <c r="AP21" s="199">
        <f t="shared" si="12"/>
        <v>5.5147311955653322</v>
      </c>
      <c r="AQ21" s="199">
        <f t="shared" si="13"/>
        <v>4.9251705427770824</v>
      </c>
      <c r="AR21" s="199"/>
      <c r="AS21" s="199">
        <f t="shared" si="14"/>
        <v>2.1352214275530983</v>
      </c>
      <c r="AT21" s="199">
        <f t="shared" si="15"/>
        <v>1.7624696093034162</v>
      </c>
      <c r="AU21" s="199">
        <f t="shared" si="16"/>
        <v>1.8650206850861342</v>
      </c>
      <c r="AV21" s="199">
        <f t="shared" si="17"/>
        <v>2.3045711533643423</v>
      </c>
      <c r="AW21" s="199">
        <f t="shared" si="18"/>
        <v>2.4928452888049373</v>
      </c>
      <c r="AX21" s="199">
        <f t="shared" si="19"/>
        <v>2.3122976348807507</v>
      </c>
      <c r="AY21" s="199">
        <f t="shared" si="20"/>
        <v>-1.0138474298618545</v>
      </c>
      <c r="AZ21" s="199">
        <f t="shared" si="21"/>
        <v>-0.4905671494556022</v>
      </c>
      <c r="BA21" s="199">
        <f t="shared" si="22"/>
        <v>0.98304481397403765</v>
      </c>
      <c r="BB21" s="199">
        <f t="shared" si="23"/>
        <v>2.0870630175189944</v>
      </c>
      <c r="BC21" s="199">
        <f t="shared" si="24"/>
        <v>2.8999574588766772</v>
      </c>
      <c r="BD21" s="199">
        <f t="shared" si="25"/>
        <v>2.1356227506403225</v>
      </c>
    </row>
    <row r="22" spans="1:56" ht="15">
      <c r="A22" s="56" t="str">
        <f>VLOOKUP(CONCATENATE($C22," - ",$B22),[2]ACHIEV!$B$12:$C$100,2,FALSE)</f>
        <v>LO3Slow</v>
      </c>
      <c r="B22" s="56" t="str">
        <f>'SC-New'!$C$7</f>
        <v>New</v>
      </c>
      <c r="C22" s="56" t="str">
        <f>'SC-NR'!$C$8</f>
        <v>HPWH</v>
      </c>
      <c r="D22" s="56" t="s">
        <v>546</v>
      </c>
      <c r="E22" s="56" t="str">
        <f>'SC-New'!$A$9</f>
        <v>Water Heating</v>
      </c>
      <c r="F22" s="198">
        <f t="shared" si="1"/>
        <v>2.104178715284186E-2</v>
      </c>
      <c r="G22" s="58">
        <f>'SC-New'!A57</f>
        <v>50.040314629419214</v>
      </c>
      <c r="H22" s="58">
        <f>'SC-New'!B57</f>
        <v>2755.8310346940802</v>
      </c>
      <c r="I22" t="str">
        <f>'SC-New'!C57</f>
        <v>Single Family</v>
      </c>
      <c r="J22" s="7" t="str">
        <f>'SC-New'!D57</f>
        <v>Single Family Tier2_indor2_hp85</v>
      </c>
      <c r="K22" s="41">
        <f ca="1">'SC-New'!E57</f>
        <v>4.5802199793376714E-5</v>
      </c>
      <c r="L22" s="41">
        <f ca="1">'SC-New'!F57</f>
        <v>1.1268011022350964E-4</v>
      </c>
      <c r="M22" s="41">
        <f ca="1">'SC-New'!G57</f>
        <v>2.3735414789264288E-4</v>
      </c>
      <c r="N22" s="41">
        <f ca="1">'SC-New'!H57</f>
        <v>4.5066650380725688E-4</v>
      </c>
      <c r="O22" s="41">
        <f ca="1">'SC-New'!I57</f>
        <v>7.7314445226354229E-4</v>
      </c>
      <c r="P22" s="41">
        <f ca="1">'SC-New'!J57</f>
        <v>1.1829707075443417E-3</v>
      </c>
      <c r="Q22" s="41">
        <f ca="1">'SC-New'!K57</f>
        <v>1.7022264165588974E-3</v>
      </c>
      <c r="R22" s="41">
        <f ca="1">'SC-New'!L57</f>
        <v>2.3352479941839916E-3</v>
      </c>
      <c r="S22" s="41">
        <f ca="1">'SC-New'!M57</f>
        <v>2.994526836297588E-3</v>
      </c>
      <c r="T22" s="41">
        <f ca="1">'SC-New'!N57</f>
        <v>3.743250217217926E-3</v>
      </c>
      <c r="U22" s="41">
        <f ca="1">'SC-New'!O57</f>
        <v>4.4230593796600239E-3</v>
      </c>
      <c r="V22" s="41">
        <f ca="1">'SC-New'!P57</f>
        <v>4.930889357312394E-3</v>
      </c>
      <c r="W22" s="41">
        <f ca="1">'SC-New'!Q57</f>
        <v>5.2529198896999292E-3</v>
      </c>
      <c r="X22" s="41">
        <f ca="1">'SC-New'!R57</f>
        <v>5.6107858408629236E-3</v>
      </c>
      <c r="Y22" s="41">
        <f ca="1">'SC-New'!S57</f>
        <v>5.9389654869841215E-3</v>
      </c>
      <c r="Z22" s="41">
        <f ca="1">'SC-New'!T57</f>
        <v>6.0967497785739209E-3</v>
      </c>
      <c r="AA22" s="41">
        <f ca="1">'SC-New'!U57</f>
        <v>6.0131037364764281E-3</v>
      </c>
      <c r="AB22" s="41">
        <f ca="1">'SC-New'!V57</f>
        <v>6.0778019146706386E-3</v>
      </c>
      <c r="AC22" s="41">
        <f ca="1">'SC-New'!W57</f>
        <v>6.1389979004603142E-3</v>
      </c>
      <c r="AD22" s="41">
        <f ca="1">'SC-New'!X57</f>
        <v>6.2075499129582209E-3</v>
      </c>
      <c r="AE22" s="41">
        <f ca="1">'SC-New'!Y57</f>
        <v>7.0268692783441986E-2</v>
      </c>
      <c r="AF22" s="199">
        <f t="shared" si="2"/>
        <v>4.7064184226103549</v>
      </c>
      <c r="AG22" s="199">
        <f t="shared" si="3"/>
        <v>4.160734755679627</v>
      </c>
      <c r="AH22" s="199">
        <f t="shared" si="4"/>
        <v>5.0724899203186355</v>
      </c>
      <c r="AI22" s="199">
        <f t="shared" si="5"/>
        <v>4.938346091583556</v>
      </c>
      <c r="AJ22" s="199">
        <f t="shared" si="6"/>
        <v>4.4178029189779844</v>
      </c>
      <c r="AK22" s="199">
        <f t="shared" si="7"/>
        <v>4.9392918578778575</v>
      </c>
      <c r="AL22" s="199">
        <f t="shared" si="8"/>
        <v>-6.7844636528358953</v>
      </c>
      <c r="AM22" s="199">
        <f t="shared" si="9"/>
        <v>-6.4438973923969129</v>
      </c>
      <c r="AN22" s="199">
        <f t="shared" si="10"/>
        <v>0.37489692640272099</v>
      </c>
      <c r="AO22" s="199">
        <f t="shared" si="11"/>
        <v>4.9704699641142644</v>
      </c>
      <c r="AP22" s="199">
        <f t="shared" si="12"/>
        <v>5.4523778123446078</v>
      </c>
      <c r="AQ22" s="199">
        <f t="shared" si="13"/>
        <v>4.8694831419971205</v>
      </c>
      <c r="AR22" s="199"/>
      <c r="AS22" s="199">
        <f t="shared" si="14"/>
        <v>2.1110791302747858</v>
      </c>
      <c r="AT22" s="199">
        <f t="shared" si="15"/>
        <v>1.7425419031167304</v>
      </c>
      <c r="AU22" s="199">
        <f t="shared" si="16"/>
        <v>1.8439334651713595</v>
      </c>
      <c r="AV22" s="199">
        <f t="shared" si="17"/>
        <v>2.279554491682569</v>
      </c>
      <c r="AW22" s="199">
        <f t="shared" si="18"/>
        <v>2.4702814205039738</v>
      </c>
      <c r="AX22" s="199">
        <f t="shared" si="19"/>
        <v>2.2908308732985749</v>
      </c>
      <c r="AY22" s="199">
        <f t="shared" si="20"/>
        <v>-0.9567148480467107</v>
      </c>
      <c r="AZ22" s="199">
        <f t="shared" si="21"/>
        <v>-0.45386310819997311</v>
      </c>
      <c r="BA22" s="199">
        <f t="shared" si="22"/>
        <v>0.99333923892452858</v>
      </c>
      <c r="BB22" s="199">
        <f t="shared" si="23"/>
        <v>2.0667368557009729</v>
      </c>
      <c r="BC22" s="199">
        <f t="shared" si="24"/>
        <v>2.8671685245941605</v>
      </c>
      <c r="BD22" s="199">
        <f t="shared" si="25"/>
        <v>2.1114759157242968</v>
      </c>
    </row>
    <row r="23" spans="1:56" ht="15">
      <c r="A23" s="56" t="str">
        <f>VLOOKUP(CONCATENATE($C23," - ",$B23),[2]ACHIEV!$B$12:$C$100,2,FALSE)</f>
        <v>LO3Slow</v>
      </c>
      <c r="B23" s="56" t="str">
        <f>'SC-New'!$C$7</f>
        <v>New</v>
      </c>
      <c r="C23" s="56" t="str">
        <f>'SC-NR'!$C$8</f>
        <v>HPWH</v>
      </c>
      <c r="D23" s="56" t="s">
        <v>546</v>
      </c>
      <c r="E23" s="56" t="str">
        <f>'SC-New'!$A$9</f>
        <v>Water Heating</v>
      </c>
      <c r="F23" s="198">
        <f t="shared" si="1"/>
        <v>-1.2107729772340772E-3</v>
      </c>
      <c r="G23" s="58">
        <f>'SC-New'!A58</f>
        <v>32.764624802907406</v>
      </c>
      <c r="H23" s="58">
        <f>'SC-New'!B58</f>
        <v>4262.5491729940195</v>
      </c>
      <c r="I23" s="7" t="str">
        <f>'SC-New'!C58</f>
        <v>Manufactured</v>
      </c>
      <c r="J23" s="7" t="str">
        <f>'SC-New'!D58</f>
        <v>Manufactured Tier2_indor2_zonl</v>
      </c>
      <c r="K23" s="29">
        <f ca="1">'SC-New'!E58</f>
        <v>3.8434391871184319E-7</v>
      </c>
      <c r="L23" s="29">
        <f ca="1">'SC-New'!F58</f>
        <v>9.949584171783297E-7</v>
      </c>
      <c r="M23" s="29">
        <f ca="1">'SC-New'!G58</f>
        <v>2.2902863937896867E-6</v>
      </c>
      <c r="N23" s="29">
        <f ca="1">'SC-New'!H58</f>
        <v>4.6609840128769188E-6</v>
      </c>
      <c r="O23" s="29">
        <f ca="1">'SC-New'!I58</f>
        <v>7.9662220887187478E-6</v>
      </c>
      <c r="P23" s="29">
        <f ca="1">'SC-New'!J58</f>
        <v>1.2590794388593631E-5</v>
      </c>
      <c r="Q23" s="29">
        <f ca="1">'SC-New'!K58</f>
        <v>1.8698376413448367E-5</v>
      </c>
      <c r="R23" s="29">
        <f ca="1">'SC-New'!L58</f>
        <v>2.5920407615121292E-5</v>
      </c>
      <c r="S23" s="29">
        <f ca="1">'SC-New'!M58</f>
        <v>3.3768856285837361E-5</v>
      </c>
      <c r="T23" s="29">
        <f ca="1">'SC-New'!N58</f>
        <v>4.1501235378516104E-5</v>
      </c>
      <c r="U23" s="29">
        <f ca="1">'SC-New'!O58</f>
        <v>4.8435309029164589E-5</v>
      </c>
      <c r="V23" s="29">
        <f ca="1">'SC-New'!P58</f>
        <v>5.4641089520166779E-5</v>
      </c>
      <c r="W23" s="29">
        <f ca="1">'SC-New'!Q58</f>
        <v>5.9878663067266212E-5</v>
      </c>
      <c r="X23" s="29">
        <f ca="1">'SC-New'!R58</f>
        <v>6.3962773197054907E-5</v>
      </c>
      <c r="Y23" s="29">
        <f ca="1">'SC-New'!S58</f>
        <v>6.6947317868458749E-5</v>
      </c>
      <c r="Z23" s="29">
        <f ca="1">'SC-New'!T58</f>
        <v>6.8986396149255686E-5</v>
      </c>
      <c r="AA23" s="29">
        <f ca="1">'SC-New'!U58</f>
        <v>7.031989204665703E-5</v>
      </c>
      <c r="AB23" s="29">
        <f ca="1">'SC-New'!V58</f>
        <v>7.1206176402689977E-5</v>
      </c>
      <c r="AC23" s="29">
        <f ca="1">'SC-New'!W58</f>
        <v>7.1762733831131828E-5</v>
      </c>
      <c r="AD23" s="29">
        <f ca="1">'SC-New'!X58</f>
        <v>7.208328279562403E-5</v>
      </c>
      <c r="AE23" s="29">
        <f ca="1">'SC-New'!Y58</f>
        <v>7.9700009882026205E-4</v>
      </c>
      <c r="AF23" s="199">
        <f t="shared" si="2"/>
        <v>-1.2684617343799307</v>
      </c>
      <c r="AG23" s="199">
        <f t="shared" si="3"/>
        <v>-0.62070770836952505</v>
      </c>
      <c r="AH23" s="199">
        <f t="shared" si="4"/>
        <v>0.89314655873234916</v>
      </c>
      <c r="AI23" s="199">
        <f t="shared" si="5"/>
        <v>1.4365377029548891</v>
      </c>
      <c r="AJ23" s="199">
        <f t="shared" si="6"/>
        <v>4.4823667357595989</v>
      </c>
      <c r="AK23" s="199">
        <f t="shared" si="7"/>
        <v>6.0659831870387801</v>
      </c>
      <c r="AL23" s="199">
        <f t="shared" si="8"/>
        <v>5.243941575606974</v>
      </c>
      <c r="AM23" s="199">
        <f t="shared" si="9"/>
        <v>5.6146892082976958</v>
      </c>
      <c r="AN23" s="199">
        <f t="shared" si="10"/>
        <v>4.5048849285350627</v>
      </c>
      <c r="AO23" s="199">
        <f t="shared" si="11"/>
        <v>3.5469138304809631</v>
      </c>
      <c r="AP23" s="199">
        <f t="shared" si="12"/>
        <v>1.4245087785196013</v>
      </c>
      <c r="AQ23" s="199">
        <f t="shared" si="13"/>
        <v>-1.8930042761901571</v>
      </c>
      <c r="AR23" s="199"/>
      <c r="AS23" s="199">
        <f t="shared" si="14"/>
        <v>-2.6546051326386291</v>
      </c>
      <c r="AT23" s="199">
        <f t="shared" si="15"/>
        <v>-1.8749618112249182</v>
      </c>
      <c r="AU23" s="199">
        <f t="shared" si="16"/>
        <v>-1.021774495049206</v>
      </c>
      <c r="AV23" s="199">
        <f t="shared" si="17"/>
        <v>-0.39258943522354012</v>
      </c>
      <c r="AW23" s="199">
        <f t="shared" si="18"/>
        <v>1.9657803139731813</v>
      </c>
      <c r="AX23" s="199">
        <f t="shared" si="19"/>
        <v>2.3381856841920232</v>
      </c>
      <c r="AY23" s="199">
        <f t="shared" si="20"/>
        <v>2.7694313393867005</v>
      </c>
      <c r="AZ23" s="199">
        <f t="shared" si="21"/>
        <v>2.0658077868167433</v>
      </c>
      <c r="BA23" s="199">
        <f t="shared" si="22"/>
        <v>2.245919453690763</v>
      </c>
      <c r="BB23" s="199">
        <f t="shared" si="23"/>
        <v>0.97421304927611541</v>
      </c>
      <c r="BC23" s="199">
        <f t="shared" si="24"/>
        <v>-0.10950933769055704</v>
      </c>
      <c r="BD23" s="199">
        <f t="shared" si="25"/>
        <v>-2.9720713995875805</v>
      </c>
    </row>
    <row r="24" spans="1:56" ht="15">
      <c r="A24" s="56" t="str">
        <f>VLOOKUP(CONCATENATE($C24," - ",$B24),[2]ACHIEV!$B$12:$C$100,2,FALSE)</f>
        <v>LO3Slow</v>
      </c>
      <c r="B24" s="56" t="str">
        <f>'SC-New'!$C$7</f>
        <v>New</v>
      </c>
      <c r="C24" s="56" t="str">
        <f>'SC-NR'!$C$8</f>
        <v>HPWH</v>
      </c>
      <c r="D24" s="56" t="s">
        <v>546</v>
      </c>
      <c r="E24" s="56" t="str">
        <f>'SC-New'!$A$9</f>
        <v>Water Heating</v>
      </c>
      <c r="F24" s="198">
        <f t="shared" si="1"/>
        <v>-1.5401398661715332E-3</v>
      </c>
      <c r="G24" s="58">
        <f>'SC-New'!A59</f>
        <v>31.639902913345086</v>
      </c>
      <c r="H24" s="58">
        <f>'SC-New'!B59</f>
        <v>4415.4378199361927</v>
      </c>
      <c r="I24" s="7" t="str">
        <f>'SC-New'!C59</f>
        <v>Single Family</v>
      </c>
      <c r="J24" s="7" t="str">
        <f>'SC-New'!D59</f>
        <v>Single Family Tier2_indor2_zonl</v>
      </c>
      <c r="K24" s="29">
        <f ca="1">'SC-New'!E59</f>
        <v>2.950667248305505E-5</v>
      </c>
      <c r="L24" s="29">
        <f ca="1">'SC-New'!F59</f>
        <v>7.2590729762294737E-5</v>
      </c>
      <c r="M24" s="29">
        <f ca="1">'SC-New'!G59</f>
        <v>1.5290818205145637E-4</v>
      </c>
      <c r="N24" s="29">
        <f ca="1">'SC-New'!H59</f>
        <v>2.9032817172347118E-4</v>
      </c>
      <c r="O24" s="29">
        <f ca="1">'SC-New'!I59</f>
        <v>4.9807477016268161E-4</v>
      </c>
      <c r="P24" s="29">
        <f ca="1">'SC-New'!J59</f>
        <v>7.620928554092362E-4</v>
      </c>
      <c r="Q24" s="29">
        <f ca="1">'SC-New'!K59</f>
        <v>1.0966075339610864E-3</v>
      </c>
      <c r="R24" s="29">
        <f ca="1">'SC-New'!L59</f>
        <v>1.5044124090533844E-3</v>
      </c>
      <c r="S24" s="29">
        <f ca="1">'SC-New'!M59</f>
        <v>1.9291327272261088E-3</v>
      </c>
      <c r="T24" s="29">
        <f ca="1">'SC-New'!N59</f>
        <v>2.411474965827862E-3</v>
      </c>
      <c r="U24" s="29">
        <f ca="1">'SC-New'!O59</f>
        <v>2.8494213176984895E-3</v>
      </c>
      <c r="V24" s="29">
        <f ca="1">'SC-New'!P59</f>
        <v>3.1765753167479526E-3</v>
      </c>
      <c r="W24" s="29">
        <f ca="1">'SC-New'!Q59</f>
        <v>3.3840336810092449E-3</v>
      </c>
      <c r="X24" s="29">
        <f ca="1">'SC-New'!R59</f>
        <v>3.61457792258365E-3</v>
      </c>
      <c r="Y24" s="29">
        <f ca="1">'SC-New'!S59</f>
        <v>3.8259976661197109E-3</v>
      </c>
      <c r="Z24" s="29">
        <f ca="1">'SC-New'!T59</f>
        <v>3.9276453912489373E-3</v>
      </c>
      <c r="AA24" s="29">
        <f ca="1">'SC-New'!U59</f>
        <v>3.8737589757534209E-3</v>
      </c>
      <c r="AB24" s="29">
        <f ca="1">'SC-New'!V59</f>
        <v>3.9154388069152189E-3</v>
      </c>
      <c r="AC24" s="29">
        <f ca="1">'SC-New'!W59</f>
        <v>3.9548624572665015E-3</v>
      </c>
      <c r="AD24" s="29">
        <f ca="1">'SC-New'!X59</f>
        <v>3.999025003824418E-3</v>
      </c>
      <c r="AE24" s="29">
        <f ca="1">'SC-New'!Y59</f>
        <v>4.5268465556828168E-2</v>
      </c>
      <c r="AF24" s="199">
        <f t="shared" si="2"/>
        <v>-1.3514104068599837</v>
      </c>
      <c r="AG24" s="199">
        <f t="shared" si="3"/>
        <v>-0.68938206879869546</v>
      </c>
      <c r="AH24" s="199">
        <f t="shared" si="4"/>
        <v>0.82476886793984328</v>
      </c>
      <c r="AI24" s="199">
        <f t="shared" si="5"/>
        <v>1.3702754525754122</v>
      </c>
      <c r="AJ24" s="199">
        <f t="shared" si="6"/>
        <v>4.4329296512214977</v>
      </c>
      <c r="AK24" s="199">
        <f t="shared" si="7"/>
        <v>6.0201915193111368</v>
      </c>
      <c r="AL24" s="199">
        <f t="shared" si="8"/>
        <v>5.2068716307953311</v>
      </c>
      <c r="AM24" s="199">
        <f t="shared" si="9"/>
        <v>5.5752258527403322</v>
      </c>
      <c r="AN24" s="199">
        <f t="shared" si="10"/>
        <v>4.4649307088352064</v>
      </c>
      <c r="AO24" s="199">
        <f t="shared" si="11"/>
        <v>3.4911905982246787</v>
      </c>
      <c r="AP24" s="199">
        <f t="shared" si="12"/>
        <v>1.3553302339730002</v>
      </c>
      <c r="AQ24" s="199">
        <f t="shared" si="13"/>
        <v>-1.9842270146832319</v>
      </c>
      <c r="AR24" s="199"/>
      <c r="AS24" s="199">
        <f t="shared" si="14"/>
        <v>-2.7112105502479258</v>
      </c>
      <c r="AT24" s="199">
        <f t="shared" si="15"/>
        <v>-1.9187442747827306</v>
      </c>
      <c r="AU24" s="199">
        <f t="shared" si="16"/>
        <v>-1.059154257738794</v>
      </c>
      <c r="AV24" s="199">
        <f t="shared" si="17"/>
        <v>-0.43207510585816966</v>
      </c>
      <c r="AW24" s="199">
        <f t="shared" si="18"/>
        <v>1.939303337098101</v>
      </c>
      <c r="AX24" s="199">
        <f t="shared" si="19"/>
        <v>2.3191309020847712</v>
      </c>
      <c r="AY24" s="199">
        <f t="shared" si="20"/>
        <v>2.7494142033509235</v>
      </c>
      <c r="AZ24" s="199">
        <f t="shared" si="21"/>
        <v>2.0507859144385945</v>
      </c>
      <c r="BA24" s="199">
        <f t="shared" si="22"/>
        <v>2.2235520940773128</v>
      </c>
      <c r="BB24" s="199">
        <f t="shared" si="23"/>
        <v>0.94771436093500161</v>
      </c>
      <c r="BC24" s="199">
        <f t="shared" si="24"/>
        <v>-0.15387315739185597</v>
      </c>
      <c r="BD24" s="199">
        <f t="shared" si="25"/>
        <v>-3.0316355778946802</v>
      </c>
    </row>
    <row r="25" spans="1:56" ht="15">
      <c r="A25" s="56" t="str">
        <f>VLOOKUP(CONCATENATE($C25," - ",$B25),[2]ACHIEV!$B$12:$C$100,2,FALSE)</f>
        <v>LO3Slow</v>
      </c>
      <c r="B25" s="56" t="str">
        <f>'SC-New'!$C$7</f>
        <v>New</v>
      </c>
      <c r="C25" s="56" t="str">
        <f>'SC-NR'!$C$8</f>
        <v>HPWH</v>
      </c>
      <c r="D25" s="56" t="s">
        <v>546</v>
      </c>
      <c r="E25" s="56" t="str">
        <f>'SC-New'!$A$9</f>
        <v>Water Heating</v>
      </c>
      <c r="F25" s="198">
        <f t="shared" si="1"/>
        <v>-1.353700259592094E-2</v>
      </c>
      <c r="G25" s="58">
        <f>'SC-New'!A60</f>
        <v>25.501566796410994</v>
      </c>
      <c r="H25" s="58">
        <f>'SC-New'!B60</f>
        <v>5512.2395219051987</v>
      </c>
      <c r="I25" s="7" t="str">
        <f>'SC-New'!C60</f>
        <v>Manufactured</v>
      </c>
      <c r="J25" s="7" t="str">
        <f>'SC-New'!D60</f>
        <v>Manufactured Tier2_indor2_efaf</v>
      </c>
      <c r="K25" s="29">
        <f ca="1">'SC-New'!E60</f>
        <v>3.8320049175614861E-6</v>
      </c>
      <c r="L25" s="29">
        <f ca="1">'SC-New'!F60</f>
        <v>9.9199840605649423E-6</v>
      </c>
      <c r="M25" s="29">
        <f ca="1">'SC-New'!G60</f>
        <v>2.2834727691388875E-5</v>
      </c>
      <c r="N25" s="29">
        <f ca="1">'SC-New'!H60</f>
        <v>4.6471175393855536E-5</v>
      </c>
      <c r="O25" s="29">
        <f ca="1">'SC-New'!I60</f>
        <v>7.9425224992942062E-5</v>
      </c>
      <c r="P25" s="29">
        <f ca="1">'SC-New'!J60</f>
        <v>1.2553336650883673E-4</v>
      </c>
      <c r="Q25" s="29">
        <f ca="1">'SC-New'!K60</f>
        <v>1.8642748558868232E-4</v>
      </c>
      <c r="R25" s="29">
        <f ca="1">'SC-New'!L60</f>
        <v>2.5843294146358586E-4</v>
      </c>
      <c r="S25" s="29">
        <f ca="1">'SC-New'!M60</f>
        <v>3.3668393604732331E-4</v>
      </c>
      <c r="T25" s="29">
        <f ca="1">'SC-New'!N60</f>
        <v>4.1377768793210239E-4</v>
      </c>
      <c r="U25" s="29">
        <f ca="1">'SC-New'!O60</f>
        <v>4.8291213506235626E-4</v>
      </c>
      <c r="V25" s="29">
        <f ca="1">'SC-New'!P60</f>
        <v>5.4478531738960624E-4</v>
      </c>
      <c r="W25" s="29">
        <f ca="1">'SC-New'!Q60</f>
        <v>5.9700523453007359E-4</v>
      </c>
      <c r="X25" s="29">
        <f ca="1">'SC-New'!R60</f>
        <v>6.3772483314806702E-4</v>
      </c>
      <c r="Y25" s="29">
        <f ca="1">'SC-New'!S60</f>
        <v>6.6748148936324203E-4</v>
      </c>
      <c r="Z25" s="29">
        <f ca="1">'SC-New'!T60</f>
        <v>6.8781160939088571E-4</v>
      </c>
      <c r="AA25" s="29">
        <f ca="1">'SC-New'!U60</f>
        <v>7.0110689673019472E-4</v>
      </c>
      <c r="AB25" s="29">
        <f ca="1">'SC-New'!V60</f>
        <v>7.0994337324336242E-4</v>
      </c>
      <c r="AC25" s="29">
        <f ca="1">'SC-New'!W60</f>
        <v>7.1549238988929389E-4</v>
      </c>
      <c r="AD25" s="29">
        <f ca="1">'SC-New'!X60</f>
        <v>7.1868834317085023E-4</v>
      </c>
      <c r="AE25" s="29">
        <f ca="1">'SC-New'!Y60</f>
        <v>7.946290156514775E-3</v>
      </c>
      <c r="AF25" s="199">
        <f t="shared" si="2"/>
        <v>-2.6718218887574743</v>
      </c>
      <c r="AG25" s="199">
        <f t="shared" si="3"/>
        <v>-1.2616032620158</v>
      </c>
      <c r="AH25" s="199">
        <f t="shared" si="4"/>
        <v>8.8838034943339583E-2</v>
      </c>
      <c r="AI25" s="199">
        <f t="shared" si="5"/>
        <v>1.2072464292968983</v>
      </c>
      <c r="AJ25" s="199">
        <f t="shared" si="6"/>
        <v>4.1473277913583999</v>
      </c>
      <c r="AK25" s="199">
        <f t="shared" si="7"/>
        <v>5.9621092530592019</v>
      </c>
      <c r="AL25" s="199">
        <f t="shared" si="8"/>
        <v>5.2665142145857695</v>
      </c>
      <c r="AM25" s="199">
        <f t="shared" si="9"/>
        <v>5.6489668315651418</v>
      </c>
      <c r="AN25" s="199">
        <f t="shared" si="10"/>
        <v>4.2785638721526702</v>
      </c>
      <c r="AO25" s="199">
        <f t="shared" si="11"/>
        <v>2.6527067763532903</v>
      </c>
      <c r="AP25" s="199">
        <f t="shared" si="12"/>
        <v>0.57267653486096359</v>
      </c>
      <c r="AQ25" s="199">
        <f t="shared" si="13"/>
        <v>-3.6959787741670556</v>
      </c>
      <c r="AR25" s="199"/>
      <c r="AS25" s="199">
        <f t="shared" si="14"/>
        <v>-2.5314001957710612</v>
      </c>
      <c r="AT25" s="199">
        <f t="shared" si="15"/>
        <v>-1.7441886782884426</v>
      </c>
      <c r="AU25" s="199">
        <f t="shared" si="16"/>
        <v>-0.88355315339147367</v>
      </c>
      <c r="AV25" s="199">
        <f t="shared" si="17"/>
        <v>-1.1277346561394523E-2</v>
      </c>
      <c r="AW25" s="199">
        <f t="shared" si="18"/>
        <v>1.9157857942750176</v>
      </c>
      <c r="AX25" s="199">
        <f t="shared" si="19"/>
        <v>2.3336923798764087</v>
      </c>
      <c r="AY25" s="199">
        <f t="shared" si="20"/>
        <v>2.8055502790700912</v>
      </c>
      <c r="AZ25" s="199">
        <f t="shared" si="21"/>
        <v>2.1029851120890433</v>
      </c>
      <c r="BA25" s="199">
        <f t="shared" si="22"/>
        <v>2.2223973848407783</v>
      </c>
      <c r="BB25" s="199">
        <f t="shared" si="23"/>
        <v>0.73068361509821667</v>
      </c>
      <c r="BC25" s="199">
        <f t="shared" si="24"/>
        <v>-0.28777338261801</v>
      </c>
      <c r="BD25" s="199">
        <f t="shared" si="25"/>
        <v>-3.3468808254435558</v>
      </c>
    </row>
    <row r="26" spans="1:56" ht="15">
      <c r="A26" s="56" t="str">
        <f>VLOOKUP(CONCATENATE($C26," - ",$B26),[2]ACHIEV!$B$12:$C$100,2,FALSE)</f>
        <v>LO3Slow</v>
      </c>
      <c r="B26" s="56" t="str">
        <f>'SC-New'!$C$7</f>
        <v>New</v>
      </c>
      <c r="C26" s="56" t="str">
        <f>'SC-NR'!$C$8</f>
        <v>HPWH</v>
      </c>
      <c r="D26" s="56" t="s">
        <v>546</v>
      </c>
      <c r="E26" s="56" t="str">
        <f>'SC-New'!$A$9</f>
        <v>Water Heating</v>
      </c>
      <c r="F26" s="198">
        <f t="shared" si="1"/>
        <v>-1.3963938996475144E-2</v>
      </c>
      <c r="G26" s="58">
        <f>'SC-New'!A61</f>
        <v>24.359737456425254</v>
      </c>
      <c r="H26" s="58">
        <f>'SC-New'!B61</f>
        <v>5772.7243738645357</v>
      </c>
      <c r="I26" s="7" t="str">
        <f>'SC-New'!C61</f>
        <v>Single Family</v>
      </c>
      <c r="J26" s="7" t="str">
        <f>'SC-New'!D61</f>
        <v>Single Family Tier2_indor2_efaf</v>
      </c>
      <c r="K26" s="29">
        <f ca="1">'SC-New'!E61</f>
        <v>8.4350434576833372E-6</v>
      </c>
      <c r="L26" s="29">
        <f ca="1">'SC-New'!F61</f>
        <v>2.0751440560487992E-5</v>
      </c>
      <c r="M26" s="29">
        <f ca="1">'SC-New'!G61</f>
        <v>4.3711711694366169E-5</v>
      </c>
      <c r="N26" s="29">
        <f ca="1">'SC-New'!H61</f>
        <v>8.2995829058108475E-5</v>
      </c>
      <c r="O26" s="29">
        <f ca="1">'SC-New'!I61</f>
        <v>1.4238414493909985E-4</v>
      </c>
      <c r="P26" s="29">
        <f ca="1">'SC-New'!J61</f>
        <v>2.17858735438857E-4</v>
      </c>
      <c r="Q26" s="29">
        <f ca="1">'SC-New'!K61</f>
        <v>3.134861177686751E-4</v>
      </c>
      <c r="R26" s="29">
        <f ca="1">'SC-New'!L61</f>
        <v>4.3006489653927627E-4</v>
      </c>
      <c r="S26" s="29">
        <f ca="1">'SC-New'!M61</f>
        <v>5.5147927639540495E-4</v>
      </c>
      <c r="T26" s="29">
        <f ca="1">'SC-New'!N61</f>
        <v>6.8936597800225443E-4</v>
      </c>
      <c r="U26" s="29">
        <f ca="1">'SC-New'!O61</f>
        <v>8.1456127111041688E-4</v>
      </c>
      <c r="V26" s="29">
        <f ca="1">'SC-New'!P61</f>
        <v>9.0808446322643256E-4</v>
      </c>
      <c r="W26" s="29">
        <f ca="1">'SC-New'!Q61</f>
        <v>9.6739038188631634E-4</v>
      </c>
      <c r="X26" s="29">
        <f ca="1">'SC-New'!R61</f>
        <v>1.0332958376002917E-3</v>
      </c>
      <c r="Y26" s="29">
        <f ca="1">'SC-New'!S61</f>
        <v>1.0937341918594195E-3</v>
      </c>
      <c r="Z26" s="29">
        <f ca="1">'SC-New'!T61</f>
        <v>1.1227921271224372E-3</v>
      </c>
      <c r="AA26" s="29">
        <f ca="1">'SC-New'!U61</f>
        <v>1.1073876704950595E-3</v>
      </c>
      <c r="AB26" s="29">
        <f ca="1">'SC-New'!V61</f>
        <v>1.1193026428580248E-3</v>
      </c>
      <c r="AC26" s="29">
        <f ca="1">'SC-New'!W61</f>
        <v>1.1305726430305128E-3</v>
      </c>
      <c r="AD26" s="29">
        <f ca="1">'SC-New'!X61</f>
        <v>1.1431973468032583E-3</v>
      </c>
      <c r="AE26" s="29">
        <f ca="1">'SC-New'!Y61</f>
        <v>1.2940851749846383E-2</v>
      </c>
      <c r="AF26" s="199">
        <f t="shared" si="2"/>
        <v>-2.7641120399014825</v>
      </c>
      <c r="AG26" s="199">
        <f t="shared" si="3"/>
        <v>-1.3332928300573716</v>
      </c>
      <c r="AH26" s="199">
        <f t="shared" si="4"/>
        <v>1.6075273579597728E-2</v>
      </c>
      <c r="AI26" s="199">
        <f t="shared" si="5"/>
        <v>1.1417264201991524</v>
      </c>
      <c r="AJ26" s="199">
        <f t="shared" si="6"/>
        <v>4.0972224749763431</v>
      </c>
      <c r="AK26" s="199">
        <f t="shared" si="7"/>
        <v>5.9176981069993984</v>
      </c>
      <c r="AL26" s="199">
        <f t="shared" si="8"/>
        <v>5.2315461728156389</v>
      </c>
      <c r="AM26" s="199">
        <f t="shared" si="9"/>
        <v>5.6118356680162389</v>
      </c>
      <c r="AN26" s="199">
        <f t="shared" si="10"/>
        <v>4.2385349938935315</v>
      </c>
      <c r="AO26" s="199">
        <f t="shared" si="11"/>
        <v>2.5914713336982573</v>
      </c>
      <c r="AP26" s="199">
        <f t="shared" si="12"/>
        <v>0.49875742543257645</v>
      </c>
      <c r="AQ26" s="199">
        <f t="shared" si="13"/>
        <v>-3.7998475170892378</v>
      </c>
      <c r="AR26" s="199"/>
      <c r="AS26" s="199">
        <f t="shared" si="14"/>
        <v>-2.5847890564744938</v>
      </c>
      <c r="AT26" s="199">
        <f t="shared" si="15"/>
        <v>-1.7851508282948585</v>
      </c>
      <c r="AU26" s="199">
        <f t="shared" si="16"/>
        <v>-0.91824301136900077</v>
      </c>
      <c r="AV26" s="199">
        <f t="shared" si="17"/>
        <v>-4.5753693646122418E-2</v>
      </c>
      <c r="AW26" s="199">
        <f t="shared" si="18"/>
        <v>1.8900831810277001</v>
      </c>
      <c r="AX26" s="199">
        <f t="shared" si="19"/>
        <v>2.3155466941251195</v>
      </c>
      <c r="AY26" s="199">
        <f t="shared" si="20"/>
        <v>2.7868788042766286</v>
      </c>
      <c r="AZ26" s="199">
        <f t="shared" si="21"/>
        <v>2.0890627743771879</v>
      </c>
      <c r="BA26" s="199">
        <f t="shared" si="22"/>
        <v>2.2008959815611875</v>
      </c>
      <c r="BB26" s="199">
        <f t="shared" si="23"/>
        <v>0.70314544735680606</v>
      </c>
      <c r="BC26" s="199">
        <f t="shared" si="24"/>
        <v>-0.33194242635451249</v>
      </c>
      <c r="BD26" s="199">
        <f t="shared" si="25"/>
        <v>-3.407611892723041</v>
      </c>
    </row>
    <row r="27" spans="1:56" ht="15">
      <c r="A27" s="56" t="str">
        <f>VLOOKUP(CONCATENATE($C27," - ",$B27),[2]ACHIEV!$B$12:$C$100,2,FALSE)</f>
        <v>LO3Slow</v>
      </c>
      <c r="B27" s="56" t="str">
        <f>'SC-NR'!$C$7</f>
        <v>NR</v>
      </c>
      <c r="C27" s="56" t="str">
        <f>'SC-NR'!$C$8</f>
        <v>HPWH</v>
      </c>
      <c r="D27" s="56" t="s">
        <v>546</v>
      </c>
      <c r="E27" s="56" t="str">
        <f>'SC-NR'!$A$9</f>
        <v>Water Heating</v>
      </c>
      <c r="F27" s="198">
        <f t="shared" si="1"/>
        <v>0.30033181865349817</v>
      </c>
      <c r="G27" s="58">
        <f>'SC-NR'!A67</f>
        <v>1182.3091174891661</v>
      </c>
      <c r="H27" s="58">
        <f>'SC-NR'!B67</f>
        <v>61.951432106144111</v>
      </c>
      <c r="I27" t="str">
        <f>'SC-NR'!C67</f>
        <v>Manufactured</v>
      </c>
      <c r="J27" s="7" t="str">
        <f>'SC-NR'!D67</f>
        <v>Manufactured Tier1_indor2_hp85</v>
      </c>
      <c r="K27" s="41">
        <f ca="1">'SC-NR'!E67</f>
        <v>2.2471158701640953E-3</v>
      </c>
      <c r="L27" s="41">
        <f ca="1">'SC-NR'!F67</f>
        <v>5.7176093576217484E-3</v>
      </c>
      <c r="M27" s="41">
        <f ca="1">'SC-NR'!G67</f>
        <v>1.2570830584786171E-2</v>
      </c>
      <c r="N27" s="41">
        <f ca="1">'SC-NR'!H67</f>
        <v>2.4407242184543199E-2</v>
      </c>
      <c r="O27" s="41">
        <f ca="1">'SC-NR'!I67</f>
        <v>4.2568573901560026E-2</v>
      </c>
      <c r="P27" s="41">
        <f ca="1">'SC-NR'!J67</f>
        <v>6.7629055847735861E-2</v>
      </c>
      <c r="Q27" s="41">
        <f ca="1">'SC-NR'!K67</f>
        <v>9.9033414500349623E-2</v>
      </c>
      <c r="R27" s="41">
        <f ca="1">'SC-NR'!L67</f>
        <v>0.13505610779130922</v>
      </c>
      <c r="S27" s="41">
        <f ca="1">'SC-NR'!M67</f>
        <v>0.1731194481792962</v>
      </c>
      <c r="T27" s="41">
        <f ca="1">'SC-NR'!N67</f>
        <v>0.21035379877429847</v>
      </c>
      <c r="U27" s="41">
        <f ca="1">'SC-NR'!O67</f>
        <v>0.24419474573485692</v>
      </c>
      <c r="V27" s="41">
        <f ca="1">'SC-NR'!P67</f>
        <v>0.27282543827953887</v>
      </c>
      <c r="W27" s="41">
        <f ca="1">'SC-NR'!Q67</f>
        <v>0.29536219526500262</v>
      </c>
      <c r="X27" s="41">
        <f ca="1">'SC-NR'!R67</f>
        <v>0.32695624839310727</v>
      </c>
      <c r="Y27" s="41">
        <f ca="1">'SC-NR'!S67</f>
        <v>0.33859381734144273</v>
      </c>
      <c r="Z27" s="41">
        <f ca="1">'SC-NR'!T67</f>
        <v>0.34586715815066726</v>
      </c>
      <c r="AA27" s="41">
        <f ca="1">'SC-NR'!U67</f>
        <v>0.34938859901889796</v>
      </c>
      <c r="AB27" s="41">
        <f ca="1">'SC-NR'!V67</f>
        <v>0.34894698043251476</v>
      </c>
      <c r="AC27" s="41">
        <f ca="1">'SC-NR'!W67</f>
        <v>0.34678310513463712</v>
      </c>
      <c r="AD27" s="41">
        <f ca="1">'SC-NR'!X67</f>
        <v>0.34357091790457567</v>
      </c>
      <c r="AE27" s="41">
        <f ca="1">'SC-NR'!Y67</f>
        <v>4.4209940161922576</v>
      </c>
      <c r="AF27" s="199">
        <f t="shared" si="2"/>
        <v>67.175244856328348</v>
      </c>
      <c r="AG27" s="199">
        <f t="shared" si="3"/>
        <v>59.386639881456667</v>
      </c>
      <c r="AH27" s="199">
        <f t="shared" si="4"/>
        <v>72.400224933607063</v>
      </c>
      <c r="AI27" s="199">
        <f t="shared" si="5"/>
        <v>73.940071263095021</v>
      </c>
      <c r="AJ27" s="199">
        <f t="shared" si="6"/>
        <v>79.985507400545828</v>
      </c>
      <c r="AK27" s="199">
        <f t="shared" si="7"/>
        <v>89.654571991942817</v>
      </c>
      <c r="AL27" s="199">
        <f t="shared" si="8"/>
        <v>34.212027120725203</v>
      </c>
      <c r="AM27" s="199">
        <f t="shared" si="9"/>
        <v>39.555072152198456</v>
      </c>
      <c r="AN27" s="199">
        <f t="shared" si="10"/>
        <v>58.342085308220092</v>
      </c>
      <c r="AO27" s="199">
        <f t="shared" si="11"/>
        <v>80.383038487537902</v>
      </c>
      <c r="AP27" s="199">
        <f t="shared" si="12"/>
        <v>77.822407976704469</v>
      </c>
      <c r="AQ27" s="199">
        <f t="shared" si="13"/>
        <v>69.502686122410893</v>
      </c>
      <c r="AR27" s="199"/>
      <c r="AS27" s="199">
        <f t="shared" si="14"/>
        <v>30.131672272487638</v>
      </c>
      <c r="AT27" s="199">
        <f t="shared" si="15"/>
        <v>24.871498558633323</v>
      </c>
      <c r="AU27" s="199">
        <f t="shared" si="16"/>
        <v>26.318671843240619</v>
      </c>
      <c r="AV27" s="199">
        <f t="shared" si="17"/>
        <v>33.490865843680425</v>
      </c>
      <c r="AW27" s="199">
        <f t="shared" si="18"/>
        <v>40.41643824837967</v>
      </c>
      <c r="AX27" s="199">
        <f t="shared" si="19"/>
        <v>36.988788944547771</v>
      </c>
      <c r="AY27" s="199">
        <f t="shared" si="20"/>
        <v>28.243625256738991</v>
      </c>
      <c r="AZ27" s="199">
        <f t="shared" si="21"/>
        <v>22.107002584183082</v>
      </c>
      <c r="BA27" s="199">
        <f t="shared" si="22"/>
        <v>33.819926239008552</v>
      </c>
      <c r="BB27" s="199">
        <f t="shared" si="23"/>
        <v>32.500292467996658</v>
      </c>
      <c r="BC27" s="199">
        <f t="shared" si="24"/>
        <v>40.923422099207606</v>
      </c>
      <c r="BD27" s="199">
        <f t="shared" si="25"/>
        <v>30.137335636288501</v>
      </c>
    </row>
    <row r="28" spans="1:56" ht="15">
      <c r="A28" s="56" t="str">
        <f>VLOOKUP(CONCATENATE($C28," - ",$B28),[2]ACHIEV!$B$12:$C$100,2,FALSE)</f>
        <v>LO3Slow</v>
      </c>
      <c r="B28" s="56" t="str">
        <f>'SC-NR'!$C$7</f>
        <v>NR</v>
      </c>
      <c r="C28" s="56" t="str">
        <f>'SC-NR'!$C$8</f>
        <v>HPWH</v>
      </c>
      <c r="D28" s="56" t="s">
        <v>546</v>
      </c>
      <c r="E28" s="56" t="str">
        <f>'SC-NR'!$A$9</f>
        <v>Water Heating</v>
      </c>
      <c r="F28" s="198">
        <f t="shared" si="1"/>
        <v>0.29849283256234388</v>
      </c>
      <c r="G28" s="58">
        <f>'SC-NR'!A68</f>
        <v>1178.5826717098373</v>
      </c>
      <c r="H28" s="58">
        <f>'SC-NR'!B68</f>
        <v>62.140138137376972</v>
      </c>
      <c r="I28" t="str">
        <f>'SC-NR'!C68</f>
        <v>Single Family</v>
      </c>
      <c r="J28" s="7" t="str">
        <f>'SC-NR'!D68</f>
        <v>Single Family Tier1_indor2_hp85</v>
      </c>
      <c r="K28" s="41">
        <f ca="1">'SC-NR'!E68</f>
        <v>4.8967818932665911E-3</v>
      </c>
      <c r="L28" s="41">
        <f ca="1">'SC-NR'!F68</f>
        <v>1.2565470140754867E-2</v>
      </c>
      <c r="M28" s="41">
        <f ca="1">'SC-NR'!G68</f>
        <v>2.7861673914848787E-2</v>
      </c>
      <c r="N28" s="41">
        <f ca="1">'SC-NR'!H68</f>
        <v>5.4555797790237358E-2</v>
      </c>
      <c r="O28" s="41">
        <f ca="1">'SC-NR'!I68</f>
        <v>9.5960006885256049E-2</v>
      </c>
      <c r="P28" s="41">
        <f ca="1">'SC-NR'!J68</f>
        <v>0.15374941172353707</v>
      </c>
      <c r="Q28" s="41">
        <f ca="1">'SC-NR'!K68</f>
        <v>0.2270601185805057</v>
      </c>
      <c r="R28" s="41">
        <f ca="1">'SC-NR'!L68</f>
        <v>0.3122858495991519</v>
      </c>
      <c r="S28" s="41">
        <f ca="1">'SC-NR'!M68</f>
        <v>0.40370386219132698</v>
      </c>
      <c r="T28" s="41">
        <f ca="1">'SC-NR'!N68</f>
        <v>0.49470508387056095</v>
      </c>
      <c r="U28" s="41">
        <f ca="1">'SC-NR'!O68</f>
        <v>0.57917698817264318</v>
      </c>
      <c r="V28" s="41">
        <f ca="1">'SC-NR'!P68</f>
        <v>0.65258759421034951</v>
      </c>
      <c r="W28" s="41">
        <f ca="1">'SC-NR'!Q68</f>
        <v>0.71250485529167007</v>
      </c>
      <c r="X28" s="41">
        <f ca="1">'SC-NR'!R68</f>
        <v>0.90932092678407583</v>
      </c>
      <c r="Y28" s="41">
        <f ca="1">'SC-NR'!S68</f>
        <v>0.94168665564817966</v>
      </c>
      <c r="Z28" s="41">
        <f ca="1">'SC-NR'!T68</f>
        <v>0.95885600797298332</v>
      </c>
      <c r="AA28" s="41">
        <f ca="1">'SC-NR'!U68</f>
        <v>0.96779039138937517</v>
      </c>
      <c r="AB28" s="41">
        <f ca="1">'SC-NR'!V68</f>
        <v>0.96869507765262697</v>
      </c>
      <c r="AC28" s="41">
        <f ca="1">'SC-NR'!W68</f>
        <v>0.96041715996355148</v>
      </c>
      <c r="AD28" s="41">
        <f ca="1">'SC-NR'!X68</f>
        <v>0.95016651474292535</v>
      </c>
      <c r="AE28" s="41">
        <f ca="1">'SC-NR'!Y68</f>
        <v>12.008947285555797</v>
      </c>
      <c r="AF28" s="199">
        <f t="shared" si="2"/>
        <v>66.763918672128071</v>
      </c>
      <c r="AG28" s="199">
        <f t="shared" si="3"/>
        <v>59.023004735397137</v>
      </c>
      <c r="AH28" s="199">
        <f t="shared" si="4"/>
        <v>71.956905250576881</v>
      </c>
      <c r="AI28" s="199">
        <f t="shared" si="5"/>
        <v>73.513249714074973</v>
      </c>
      <c r="AJ28" s="199">
        <f t="shared" si="6"/>
        <v>79.622803482952122</v>
      </c>
      <c r="AK28" s="199">
        <f t="shared" si="7"/>
        <v>89.249367800785535</v>
      </c>
      <c r="AL28" s="199">
        <f t="shared" si="8"/>
        <v>34.986085772627803</v>
      </c>
      <c r="AM28" s="199">
        <f t="shared" si="9"/>
        <v>40.30003268853428</v>
      </c>
      <c r="AN28" s="199">
        <f t="shared" si="10"/>
        <v>58.382558401603852</v>
      </c>
      <c r="AO28" s="199">
        <f t="shared" si="11"/>
        <v>79.961680405081481</v>
      </c>
      <c r="AP28" s="199">
        <f t="shared" si="12"/>
        <v>77.345887285387334</v>
      </c>
      <c r="AQ28" s="199">
        <f t="shared" si="13"/>
        <v>69.077108594029056</v>
      </c>
      <c r="AR28" s="199"/>
      <c r="AS28" s="199">
        <f t="shared" si="14"/>
        <v>29.947170588780743</v>
      </c>
      <c r="AT28" s="199">
        <f t="shared" si="15"/>
        <v>24.719205870763776</v>
      </c>
      <c r="AU28" s="199">
        <f t="shared" si="16"/>
        <v>26.15751785138465</v>
      </c>
      <c r="AV28" s="199">
        <f t="shared" si="17"/>
        <v>33.292959171860502</v>
      </c>
      <c r="AW28" s="199">
        <f t="shared" si="18"/>
        <v>40.207671939497487</v>
      </c>
      <c r="AX28" s="199">
        <f t="shared" si="19"/>
        <v>36.794508712028552</v>
      </c>
      <c r="AY28" s="199">
        <f t="shared" si="20"/>
        <v>28.385146726810323</v>
      </c>
      <c r="AZ28" s="199">
        <f t="shared" si="21"/>
        <v>22.186175562671423</v>
      </c>
      <c r="BA28" s="199">
        <f t="shared" si="22"/>
        <v>33.760258131138208</v>
      </c>
      <c r="BB28" s="199">
        <f t="shared" si="23"/>
        <v>32.323814499134876</v>
      </c>
      <c r="BC28" s="199">
        <f t="shared" si="24"/>
        <v>40.672840577808088</v>
      </c>
      <c r="BD28" s="199">
        <f t="shared" si="25"/>
        <v>29.952799274779878</v>
      </c>
    </row>
    <row r="29" spans="1:56" ht="15">
      <c r="A29" s="56" t="str">
        <f>VLOOKUP(CONCATENATE($C29," - ",$B29),[2]ACHIEV!$B$12:$C$100,2,FALSE)</f>
        <v>LO3Slow</v>
      </c>
      <c r="B29" s="56" t="str">
        <f>'SC-NR'!$C$7</f>
        <v>NR</v>
      </c>
      <c r="C29" s="56" t="str">
        <f>'SC-NR'!$C$8</f>
        <v>HPWH</v>
      </c>
      <c r="D29" s="56" t="s">
        <v>546</v>
      </c>
      <c r="E29" s="56" t="str">
        <f>'SC-NR'!$A$9</f>
        <v>Water Heating</v>
      </c>
      <c r="F29" s="198">
        <f t="shared" si="1"/>
        <v>0.24957019939213321</v>
      </c>
      <c r="G29" s="58">
        <f>'SC-NR'!A69</f>
        <v>1121.4904168963346</v>
      </c>
      <c r="H29" s="58">
        <f>'SC-NR'!B69</f>
        <v>62.671853732153288</v>
      </c>
      <c r="I29" t="str">
        <f>'SC-NR'!C69</f>
        <v>Single Family</v>
      </c>
      <c r="J29" s="7" t="str">
        <f>'SC-NR'!D69</f>
        <v>Single Family Tier1_buffered</v>
      </c>
      <c r="K29" s="41">
        <f ca="1">'SC-NR'!E69</f>
        <v>6.0304149435374418E-2</v>
      </c>
      <c r="L29" s="41">
        <f ca="1">'SC-NR'!F69</f>
        <v>0.15474448435936558</v>
      </c>
      <c r="M29" s="41">
        <f ca="1">'SC-NR'!G69</f>
        <v>0.34311810979187557</v>
      </c>
      <c r="N29" s="41">
        <f ca="1">'SC-NR'!H69</f>
        <v>0.67185777398671476</v>
      </c>
      <c r="O29" s="41">
        <f ca="1">'SC-NR'!I69</f>
        <v>1.1817529800510953</v>
      </c>
      <c r="P29" s="41">
        <f ca="1">'SC-NR'!J69</f>
        <v>1.8934328100106608</v>
      </c>
      <c r="Q29" s="41">
        <f ca="1">'SC-NR'!K69</f>
        <v>2.7962583631754154</v>
      </c>
      <c r="R29" s="41">
        <f ca="1">'SC-NR'!L69</f>
        <v>3.8458181212186684</v>
      </c>
      <c r="S29" s="41">
        <f ca="1">'SC-NR'!M69</f>
        <v>4.9716361814479928</v>
      </c>
      <c r="T29" s="41">
        <f ca="1">'SC-NR'!N69</f>
        <v>6.0923214377164383</v>
      </c>
      <c r="U29" s="41">
        <f ca="1">'SC-NR'!O69</f>
        <v>7.1325977765764605</v>
      </c>
      <c r="V29" s="41">
        <f ca="1">'SC-NR'!P69</f>
        <v>8.0366535938728401</v>
      </c>
      <c r="W29" s="41">
        <f ca="1">'SC-NR'!Q69</f>
        <v>8.7745380953195493</v>
      </c>
      <c r="X29" s="41">
        <f ca="1">'SC-NR'!R69</f>
        <v>11.198339286645187</v>
      </c>
      <c r="Y29" s="41">
        <f ca="1">'SC-NR'!S69</f>
        <v>11.59692509106698</v>
      </c>
      <c r="Z29" s="41">
        <f ca="1">'SC-NR'!T69</f>
        <v>11.808366648169464</v>
      </c>
      <c r="AA29" s="41">
        <f ca="1">'SC-NR'!U69</f>
        <v>11.918394091579984</v>
      </c>
      <c r="AB29" s="41">
        <f ca="1">'SC-NR'!V69</f>
        <v>11.929535354719818</v>
      </c>
      <c r="AC29" s="41">
        <f ca="1">'SC-NR'!W69</f>
        <v>11.827592324334463</v>
      </c>
      <c r="AD29" s="41">
        <f ca="1">'SC-NR'!X69</f>
        <v>11.701355041427568</v>
      </c>
      <c r="AE29" s="41">
        <f ca="1">'SC-NR'!Y69</f>
        <v>147.89087352767342</v>
      </c>
      <c r="AF29" s="199">
        <f t="shared" si="2"/>
        <v>55.821388856317583</v>
      </c>
      <c r="AG29" s="199">
        <f t="shared" si="3"/>
        <v>49.349201663784726</v>
      </c>
      <c r="AH29" s="199">
        <f t="shared" si="4"/>
        <v>60.16325038078714</v>
      </c>
      <c r="AI29" s="199">
        <f t="shared" si="5"/>
        <v>62.468776687174461</v>
      </c>
      <c r="AJ29" s="199">
        <f t="shared" si="6"/>
        <v>71.494391757248707</v>
      </c>
      <c r="AK29" s="199">
        <f t="shared" si="7"/>
        <v>80.190238777804836</v>
      </c>
      <c r="AL29" s="199">
        <f t="shared" si="8"/>
        <v>67.349029613039406</v>
      </c>
      <c r="AM29" s="199">
        <f t="shared" si="9"/>
        <v>71.932180278638</v>
      </c>
      <c r="AN29" s="199">
        <f t="shared" si="10"/>
        <v>64.218906548729947</v>
      </c>
      <c r="AO29" s="199">
        <f t="shared" si="11"/>
        <v>69.600073570856154</v>
      </c>
      <c r="AP29" s="199">
        <f t="shared" si="12"/>
        <v>64.668984313331691</v>
      </c>
      <c r="AQ29" s="199">
        <f t="shared" si="13"/>
        <v>57.755449756035766</v>
      </c>
      <c r="AR29" s="199"/>
      <c r="AS29" s="199">
        <f t="shared" si="14"/>
        <v>25.038863847959643</v>
      </c>
      <c r="AT29" s="199">
        <f t="shared" si="15"/>
        <v>20.667756462979366</v>
      </c>
      <c r="AU29" s="199">
        <f t="shared" si="16"/>
        <v>21.870330602241363</v>
      </c>
      <c r="AV29" s="199">
        <f t="shared" si="17"/>
        <v>28.113773539506127</v>
      </c>
      <c r="AW29" s="199">
        <f t="shared" si="18"/>
        <v>35.117125600744593</v>
      </c>
      <c r="AX29" s="199">
        <f t="shared" si="19"/>
        <v>32.011522589806923</v>
      </c>
      <c r="AY29" s="199">
        <f t="shared" si="20"/>
        <v>35.913392084015449</v>
      </c>
      <c r="AZ29" s="199">
        <f t="shared" si="21"/>
        <v>26.859913922098357</v>
      </c>
      <c r="BA29" s="199">
        <f t="shared" si="22"/>
        <v>33.937129612246721</v>
      </c>
      <c r="BB29" s="199">
        <f t="shared" si="23"/>
        <v>27.898557937161815</v>
      </c>
      <c r="BC29" s="199">
        <f t="shared" si="24"/>
        <v>34.006608357597862</v>
      </c>
      <c r="BD29" s="199">
        <f t="shared" si="25"/>
        <v>25.043570136227579</v>
      </c>
    </row>
    <row r="30" spans="1:56" ht="15">
      <c r="A30" s="56" t="str">
        <f>VLOOKUP(CONCATENATE($C30," - ",$B30),[2]ACHIEV!$B$12:$C$100,2,FALSE)</f>
        <v>LO3Slow</v>
      </c>
      <c r="B30" s="56" t="str">
        <f>'SC-NR'!$C$7</f>
        <v>NR</v>
      </c>
      <c r="C30" s="56" t="str">
        <f>'SC-NR'!$C$8</f>
        <v>HPWH</v>
      </c>
      <c r="D30" s="56" t="s">
        <v>546</v>
      </c>
      <c r="E30" s="56" t="str">
        <f>'SC-NR'!$A$9</f>
        <v>Water Heating</v>
      </c>
      <c r="F30" s="198">
        <f t="shared" si="1"/>
        <v>0.29239115223298567</v>
      </c>
      <c r="G30" s="58">
        <f>'SC-NR'!A70</f>
        <v>1367.6145062653491</v>
      </c>
      <c r="H30" s="58">
        <f>'SC-NR'!B70</f>
        <v>68.411966327303134</v>
      </c>
      <c r="I30" t="str">
        <f>'SC-NR'!C70</f>
        <v>Manufactured</v>
      </c>
      <c r="J30" s="7" t="str">
        <f>'SC-NR'!D70</f>
        <v>Manufactured Tier1_indor2_gfac</v>
      </c>
      <c r="K30" s="41">
        <f ca="1">'SC-NR'!E70</f>
        <v>5.6801354081291791E-4</v>
      </c>
      <c r="L30" s="41">
        <f ca="1">'SC-NR'!F70</f>
        <v>1.4452657200852937E-3</v>
      </c>
      <c r="M30" s="41">
        <f ca="1">'SC-NR'!G70</f>
        <v>3.1775851375667103E-3</v>
      </c>
      <c r="N30" s="41">
        <f ca="1">'SC-NR'!H70</f>
        <v>6.1695278996487203E-3</v>
      </c>
      <c r="O30" s="41">
        <f ca="1">'SC-NR'!I70</f>
        <v>1.0760249041993446E-2</v>
      </c>
      <c r="P30" s="41">
        <f ca="1">'SC-NR'!J70</f>
        <v>1.709489928131825E-2</v>
      </c>
      <c r="Q30" s="41">
        <f ca="1">'SC-NR'!K70</f>
        <v>2.5033119642837609E-2</v>
      </c>
      <c r="R30" s="41">
        <f ca="1">'SC-NR'!L70</f>
        <v>3.4138737131232409E-2</v>
      </c>
      <c r="S30" s="41">
        <f ca="1">'SC-NR'!M70</f>
        <v>4.3760178124112314E-2</v>
      </c>
      <c r="T30" s="41">
        <f ca="1">'SC-NR'!N70</f>
        <v>5.3172071654904028E-2</v>
      </c>
      <c r="U30" s="41">
        <f ca="1">'SC-NR'!O70</f>
        <v>6.1726199353768649E-2</v>
      </c>
      <c r="V30" s="41">
        <f ca="1">'SC-NR'!P70</f>
        <v>6.8963307713046637E-2</v>
      </c>
      <c r="W30" s="41">
        <f ca="1">'SC-NR'!Q70</f>
        <v>7.4660024693118845E-2</v>
      </c>
      <c r="X30" s="41">
        <f ca="1">'SC-NR'!R70</f>
        <v>8.2646194976636847E-2</v>
      </c>
      <c r="Y30" s="41">
        <f ca="1">'SC-NR'!S70</f>
        <v>8.5587875391325813E-2</v>
      </c>
      <c r="Z30" s="41">
        <f ca="1">'SC-NR'!T70</f>
        <v>8.7426390316808961E-2</v>
      </c>
      <c r="AA30" s="41">
        <f ca="1">'SC-NR'!U70</f>
        <v>8.8316520693655476E-2</v>
      </c>
      <c r="AB30" s="41">
        <f ca="1">'SC-NR'!V70</f>
        <v>8.8204890786061099E-2</v>
      </c>
      <c r="AC30" s="41">
        <f ca="1">'SC-NR'!W70</f>
        <v>8.765791833744617E-2</v>
      </c>
      <c r="AD30" s="41">
        <f ca="1">'SC-NR'!X70</f>
        <v>8.6845959387519836E-2</v>
      </c>
      <c r="AE30" s="41">
        <f ca="1">'SC-NR'!Y70</f>
        <v>1.1175144541463755</v>
      </c>
      <c r="AF30" s="199">
        <f t="shared" si="2"/>
        <v>65.483673404918065</v>
      </c>
      <c r="AG30" s="199">
        <f t="shared" si="3"/>
        <v>58.152451304194301</v>
      </c>
      <c r="AH30" s="199">
        <f t="shared" si="4"/>
        <v>71.281827066511369</v>
      </c>
      <c r="AI30" s="199">
        <f t="shared" si="5"/>
        <v>74.52319390997215</v>
      </c>
      <c r="AJ30" s="199">
        <f t="shared" si="6"/>
        <v>86.867530884106714</v>
      </c>
      <c r="AK30" s="199">
        <f t="shared" si="7"/>
        <v>97.756118862523337</v>
      </c>
      <c r="AL30" s="199">
        <f t="shared" si="8"/>
        <v>90.318365147601426</v>
      </c>
      <c r="AM30" s="199">
        <f t="shared" si="9"/>
        <v>95.871903437791957</v>
      </c>
      <c r="AN30" s="199">
        <f t="shared" si="10"/>
        <v>80.839270557877711</v>
      </c>
      <c r="AO30" s="199">
        <f t="shared" si="11"/>
        <v>83.737587238293216</v>
      </c>
      <c r="AP30" s="199">
        <f t="shared" si="12"/>
        <v>76.733539827225798</v>
      </c>
      <c r="AQ30" s="199">
        <f t="shared" si="13"/>
        <v>67.531338588891288</v>
      </c>
      <c r="AR30" s="199"/>
      <c r="AS30" s="199">
        <f t="shared" si="14"/>
        <v>29.056457791152773</v>
      </c>
      <c r="AT30" s="199">
        <f t="shared" si="15"/>
        <v>24.06596450056475</v>
      </c>
      <c r="AU30" s="199">
        <f t="shared" si="16"/>
        <v>25.694684555980427</v>
      </c>
      <c r="AV30" s="199">
        <f t="shared" si="17"/>
        <v>33.36456735292132</v>
      </c>
      <c r="AW30" s="199">
        <f t="shared" si="18"/>
        <v>42.415403970241641</v>
      </c>
      <c r="AX30" s="199">
        <f t="shared" si="19"/>
        <v>38.774713833977607</v>
      </c>
      <c r="AY30" s="199">
        <f t="shared" si="20"/>
        <v>46.176075257210272</v>
      </c>
      <c r="AZ30" s="199">
        <f t="shared" si="21"/>
        <v>34.341388675215917</v>
      </c>
      <c r="BA30" s="199">
        <f t="shared" si="22"/>
        <v>42.117992884977056</v>
      </c>
      <c r="BB30" s="199">
        <f t="shared" si="23"/>
        <v>33.431010043596871</v>
      </c>
      <c r="BC30" s="199">
        <f t="shared" si="24"/>
        <v>40.211018392542421</v>
      </c>
      <c r="BD30" s="199">
        <f t="shared" si="25"/>
        <v>28.868428777060434</v>
      </c>
    </row>
    <row r="31" spans="1:56" ht="15">
      <c r="A31" s="56" t="str">
        <f>VLOOKUP(CONCATENATE($C31," - ",$B31),[2]ACHIEV!$B$12:$C$100,2,FALSE)</f>
        <v>LO3Slow</v>
      </c>
      <c r="B31" s="56" t="str">
        <f>'SC-NR'!$C$7</f>
        <v>NR</v>
      </c>
      <c r="C31" s="56" t="str">
        <f>'SC-NR'!$C$8</f>
        <v>HPWH</v>
      </c>
      <c r="D31" s="56" t="s">
        <v>546</v>
      </c>
      <c r="E31" s="56" t="str">
        <f>'SC-NR'!$A$9</f>
        <v>Water Heating</v>
      </c>
      <c r="F31" s="198">
        <f t="shared" si="1"/>
        <v>0.29652353065166898</v>
      </c>
      <c r="G31" s="58">
        <f>'SC-NR'!A71</f>
        <v>1351.2543502462204</v>
      </c>
      <c r="H31" s="58">
        <f>'SC-NR'!B71</f>
        <v>68.882019400713702</v>
      </c>
      <c r="I31" t="str">
        <f>'SC-NR'!C71</f>
        <v>Manufactured</v>
      </c>
      <c r="J31" s="7" t="str">
        <f>'SC-NR'!D71</f>
        <v>Manufactured Tier1_indor2_gfnc</v>
      </c>
      <c r="K31" s="41">
        <f ca="1">'SC-NR'!E71</f>
        <v>4.1156034392078669E-3</v>
      </c>
      <c r="L31" s="41">
        <f ca="1">'SC-NR'!F71</f>
        <v>1.0471828822319151E-2</v>
      </c>
      <c r="M31" s="41">
        <f ca="1">'SC-NR'!G71</f>
        <v>2.3023536202726985E-2</v>
      </c>
      <c r="N31" s="41">
        <f ca="1">'SC-NR'!H71</f>
        <v>4.4701980529802364E-2</v>
      </c>
      <c r="O31" s="41">
        <f ca="1">'SC-NR'!I71</f>
        <v>7.7964546233497536E-2</v>
      </c>
      <c r="P31" s="41">
        <f ca="1">'SC-NR'!J71</f>
        <v>0.12386293850392205</v>
      </c>
      <c r="Q31" s="41">
        <f ca="1">'SC-NR'!K71</f>
        <v>0.18138017123450484</v>
      </c>
      <c r="R31" s="41">
        <f ca="1">'SC-NR'!L71</f>
        <v>0.24735590589342885</v>
      </c>
      <c r="S31" s="41">
        <f ca="1">'SC-NR'!M71</f>
        <v>0.31706909544831341</v>
      </c>
      <c r="T31" s="41">
        <f ca="1">'SC-NR'!N71</f>
        <v>0.38526398624149372</v>
      </c>
      <c r="U31" s="41">
        <f ca="1">'SC-NR'!O71</f>
        <v>0.44724384208522239</v>
      </c>
      <c r="V31" s="41">
        <f ca="1">'SC-NR'!P71</f>
        <v>0.49968109210348288</v>
      </c>
      <c r="W31" s="41">
        <f ca="1">'SC-NR'!Q71</f>
        <v>0.54095727006541117</v>
      </c>
      <c r="X31" s="41">
        <f ca="1">'SC-NR'!R71</f>
        <v>0.59882192913305798</v>
      </c>
      <c r="Y31" s="41">
        <f ca="1">'SC-NR'!S71</f>
        <v>0.62013619219519833</v>
      </c>
      <c r="Z31" s="41">
        <f ca="1">'SC-NR'!T71</f>
        <v>0.63345735059491604</v>
      </c>
      <c r="AA31" s="41">
        <f ca="1">'SC-NR'!U71</f>
        <v>0.63990688634902859</v>
      </c>
      <c r="AB31" s="41">
        <f ca="1">'SC-NR'!V71</f>
        <v>0.63909805980071011</v>
      </c>
      <c r="AC31" s="41">
        <f ca="1">'SC-NR'!W71</f>
        <v>0.63513491186686</v>
      </c>
      <c r="AD31" s="41">
        <f ca="1">'SC-NR'!X71</f>
        <v>0.62925177562678047</v>
      </c>
      <c r="AE31" s="41">
        <f ca="1">'SC-NR'!Y71</f>
        <v>8.0970716371779954</v>
      </c>
      <c r="AF31" s="199">
        <f t="shared" si="2"/>
        <v>66.400845982660599</v>
      </c>
      <c r="AG31" s="199">
        <f t="shared" si="3"/>
        <v>58.941283697638553</v>
      </c>
      <c r="AH31" s="199">
        <f t="shared" si="4"/>
        <v>72.210995173130371</v>
      </c>
      <c r="AI31" s="199">
        <f t="shared" si="5"/>
        <v>75.220628219844897</v>
      </c>
      <c r="AJ31" s="199">
        <f t="shared" si="6"/>
        <v>86.689962608799831</v>
      </c>
      <c r="AK31" s="199">
        <f t="shared" si="7"/>
        <v>97.518936992931856</v>
      </c>
      <c r="AL31" s="199">
        <f t="shared" si="8"/>
        <v>81.959150135638467</v>
      </c>
      <c r="AM31" s="199">
        <f t="shared" si="9"/>
        <v>87.541761896431936</v>
      </c>
      <c r="AN31" s="199">
        <f t="shared" si="10"/>
        <v>77.98842359648178</v>
      </c>
      <c r="AO31" s="199">
        <f t="shared" si="11"/>
        <v>84.091954725047529</v>
      </c>
      <c r="AP31" s="199">
        <f t="shared" si="12"/>
        <v>77.722755507409403</v>
      </c>
      <c r="AQ31" s="199">
        <f t="shared" si="13"/>
        <v>68.498912219004268</v>
      </c>
      <c r="AR31" s="199"/>
      <c r="AS31" s="199">
        <f t="shared" si="14"/>
        <v>29.494505665110928</v>
      </c>
      <c r="AT31" s="199">
        <f t="shared" si="15"/>
        <v>24.420638175241429</v>
      </c>
      <c r="AU31" s="199">
        <f t="shared" si="16"/>
        <v>26.050761303828779</v>
      </c>
      <c r="AV31" s="199">
        <f t="shared" si="17"/>
        <v>33.732104190098894</v>
      </c>
      <c r="AW31" s="199">
        <f t="shared" si="18"/>
        <v>42.554615501169124</v>
      </c>
      <c r="AX31" s="199">
        <f t="shared" si="19"/>
        <v>38.918970584062144</v>
      </c>
      <c r="AY31" s="199">
        <f t="shared" si="20"/>
        <v>43.703530782840417</v>
      </c>
      <c r="AZ31" s="199">
        <f t="shared" si="21"/>
        <v>32.687241183415644</v>
      </c>
      <c r="BA31" s="199">
        <f t="shared" si="22"/>
        <v>41.205366138702786</v>
      </c>
      <c r="BB31" s="199">
        <f t="shared" si="23"/>
        <v>33.635176959444543</v>
      </c>
      <c r="BC31" s="199">
        <f t="shared" si="24"/>
        <v>40.742977114193629</v>
      </c>
      <c r="BD31" s="199">
        <f t="shared" si="25"/>
        <v>29.322851893092185</v>
      </c>
    </row>
    <row r="32" spans="1:56" ht="15">
      <c r="A32" s="56" t="str">
        <f>VLOOKUP(CONCATENATE($C32," - ",$B32),[2]ACHIEV!$B$12:$C$100,2,FALSE)</f>
        <v>LO3Slow</v>
      </c>
      <c r="B32" s="56" t="str">
        <f>'SC-NR'!$C$7</f>
        <v>NR</v>
      </c>
      <c r="C32" s="56" t="str">
        <f>'SC-NR'!$C$8</f>
        <v>HPWH</v>
      </c>
      <c r="D32" s="56" t="s">
        <v>546</v>
      </c>
      <c r="E32" s="56" t="str">
        <f>'SC-NR'!$A$9</f>
        <v>Water Heating</v>
      </c>
      <c r="F32" s="198">
        <f t="shared" si="1"/>
        <v>0.29047592546166073</v>
      </c>
      <c r="G32" s="58">
        <f>'SC-NR'!A72</f>
        <v>1358.6845229206428</v>
      </c>
      <c r="H32" s="58">
        <f>'SC-NR'!B72</f>
        <v>69.179824093007909</v>
      </c>
      <c r="I32" t="str">
        <f>'SC-NR'!C72</f>
        <v>Single Family</v>
      </c>
      <c r="J32" s="7" t="str">
        <f>'SC-NR'!D72</f>
        <v>Single Family Tier1_indor2_gfac</v>
      </c>
      <c r="K32" s="41">
        <f ca="1">'SC-NR'!E72</f>
        <v>8.4083410299338555E-3</v>
      </c>
      <c r="L32" s="41">
        <f ca="1">'SC-NR'!F72</f>
        <v>2.1576365957854959E-2</v>
      </c>
      <c r="M32" s="41">
        <f ca="1">'SC-NR'!G72</f>
        <v>4.7841717488581376E-2</v>
      </c>
      <c r="N32" s="41">
        <f ca="1">'SC-NR'!H72</f>
        <v>9.3678616483042446E-2</v>
      </c>
      <c r="O32" s="41">
        <f ca="1">'SC-NR'!I72</f>
        <v>0.16477443364090347</v>
      </c>
      <c r="P32" s="41">
        <f ca="1">'SC-NR'!J72</f>
        <v>0.26400552752836864</v>
      </c>
      <c r="Q32" s="41">
        <f ca="1">'SC-NR'!K72</f>
        <v>0.389888492674626</v>
      </c>
      <c r="R32" s="41">
        <f ca="1">'SC-NR'!L72</f>
        <v>0.53623093278117273</v>
      </c>
      <c r="S32" s="41">
        <f ca="1">'SC-NR'!M72</f>
        <v>0.69320623674779946</v>
      </c>
      <c r="T32" s="41">
        <f ca="1">'SC-NR'!N72</f>
        <v>0.84946586249747158</v>
      </c>
      <c r="U32" s="41">
        <f ca="1">'SC-NR'!O72</f>
        <v>0.99451389491984898</v>
      </c>
      <c r="V32" s="41">
        <f ca="1">'SC-NR'!P72</f>
        <v>1.1205683985169836</v>
      </c>
      <c r="W32" s="41">
        <f ca="1">'SC-NR'!Q72</f>
        <v>1.2234532677499981</v>
      </c>
      <c r="X32" s="41">
        <f ca="1">'SC-NR'!R72</f>
        <v>1.5614092325757103</v>
      </c>
      <c r="Y32" s="41">
        <f ca="1">'SC-NR'!S72</f>
        <v>1.6169849334959361</v>
      </c>
      <c r="Z32" s="41">
        <f ca="1">'SC-NR'!T72</f>
        <v>1.6464666977968025</v>
      </c>
      <c r="AA32" s="41">
        <f ca="1">'SC-NR'!U72</f>
        <v>1.661808067760719</v>
      </c>
      <c r="AB32" s="41">
        <f ca="1">'SC-NR'!V72</f>
        <v>1.663361518739815</v>
      </c>
      <c r="AC32" s="41">
        <f ca="1">'SC-NR'!W72</f>
        <v>1.6491473763776292</v>
      </c>
      <c r="AD32" s="41">
        <f ca="1">'SC-NR'!X72</f>
        <v>1.6315458326146923</v>
      </c>
      <c r="AE32" s="41">
        <f ca="1">'SC-NR'!Y72</f>
        <v>20.62075183015595</v>
      </c>
      <c r="AF32" s="199">
        <f t="shared" si="2"/>
        <v>65.056103127780077</v>
      </c>
      <c r="AG32" s="199">
        <f t="shared" si="3"/>
        <v>57.776955153366963</v>
      </c>
      <c r="AH32" s="199">
        <f t="shared" si="4"/>
        <v>70.827742794532142</v>
      </c>
      <c r="AI32" s="199">
        <f t="shared" si="5"/>
        <v>74.0504061780901</v>
      </c>
      <c r="AJ32" s="199">
        <f t="shared" si="6"/>
        <v>86.318310029747934</v>
      </c>
      <c r="AK32" s="199">
        <f t="shared" si="7"/>
        <v>97.142887880019089</v>
      </c>
      <c r="AL32" s="199">
        <f t="shared" si="8"/>
        <v>89.676294159224483</v>
      </c>
      <c r="AM32" s="199">
        <f t="shared" si="9"/>
        <v>95.195559104583481</v>
      </c>
      <c r="AN32" s="199">
        <f t="shared" si="10"/>
        <v>80.305248775319441</v>
      </c>
      <c r="AO32" s="199">
        <f t="shared" si="11"/>
        <v>83.207591327152542</v>
      </c>
      <c r="AP32" s="199">
        <f t="shared" si="12"/>
        <v>76.246532308944722</v>
      </c>
      <c r="AQ32" s="199">
        <f t="shared" si="13"/>
        <v>67.086838027688501</v>
      </c>
      <c r="AR32" s="199"/>
      <c r="AS32" s="199">
        <f t="shared" si="14"/>
        <v>28.861641938535993</v>
      </c>
      <c r="AT32" s="199">
        <f t="shared" si="15"/>
        <v>23.905942572728694</v>
      </c>
      <c r="AU32" s="199">
        <f t="shared" si="16"/>
        <v>25.527537083128369</v>
      </c>
      <c r="AV32" s="199">
        <f t="shared" si="17"/>
        <v>33.15119801703014</v>
      </c>
      <c r="AW32" s="199">
        <f t="shared" si="18"/>
        <v>42.148863966007013</v>
      </c>
      <c r="AX32" s="199">
        <f t="shared" si="19"/>
        <v>38.533534984531322</v>
      </c>
      <c r="AY32" s="199">
        <f t="shared" si="20"/>
        <v>45.86475387955668</v>
      </c>
      <c r="AZ32" s="199">
        <f t="shared" si="21"/>
        <v>34.11161429371019</v>
      </c>
      <c r="BA32" s="199">
        <f t="shared" si="22"/>
        <v>41.844979177011965</v>
      </c>
      <c r="BB32" s="199">
        <f t="shared" si="23"/>
        <v>33.218678586886661</v>
      </c>
      <c r="BC32" s="199">
        <f t="shared" si="24"/>
        <v>39.953584556289556</v>
      </c>
      <c r="BD32" s="199">
        <f t="shared" si="25"/>
        <v>28.671724998776305</v>
      </c>
    </row>
    <row r="33" spans="1:56" ht="15">
      <c r="A33" s="56" t="str">
        <f>VLOOKUP(CONCATENATE($C33," - ",$B33),[2]ACHIEV!$B$12:$C$100,2,FALSE)</f>
        <v>LO3Slow</v>
      </c>
      <c r="B33" s="56" t="str">
        <f>'SC-NR'!$C$7</f>
        <v>NR</v>
      </c>
      <c r="C33" s="56" t="str">
        <f>'SC-NR'!$C$8</f>
        <v>HPWH</v>
      </c>
      <c r="D33" s="56" t="s">
        <v>546</v>
      </c>
      <c r="E33" s="56" t="str">
        <f>'SC-NR'!$A$9</f>
        <v>Water Heating</v>
      </c>
      <c r="F33" s="198">
        <f t="shared" si="1"/>
        <v>0.29447890126290738</v>
      </c>
      <c r="G33" s="58">
        <f>'SC-NR'!A73</f>
        <v>1342.1286397245815</v>
      </c>
      <c r="H33" s="58">
        <f>'SC-NR'!B73</f>
        <v>69.681389746023285</v>
      </c>
      <c r="I33" t="str">
        <f>'SC-NR'!C73</f>
        <v>Single Family</v>
      </c>
      <c r="J33" s="7" t="str">
        <f>'SC-NR'!D73</f>
        <v>Single Family Tier1_indor2_gfnc</v>
      </c>
      <c r="K33" s="41">
        <f ca="1">'SC-NR'!E73</f>
        <v>1.3551704595706907E-2</v>
      </c>
      <c r="L33" s="41">
        <f ca="1">'SC-NR'!F73</f>
        <v>3.4774581177045488E-2</v>
      </c>
      <c r="M33" s="41">
        <f ca="1">'SC-NR'!G73</f>
        <v>7.7106390005879641E-2</v>
      </c>
      <c r="N33" s="41">
        <f ca="1">'SC-NR'!H73</f>
        <v>0.1509816184896936</v>
      </c>
      <c r="O33" s="41">
        <f ca="1">'SC-NR'!I73</f>
        <v>0.26556658937559763</v>
      </c>
      <c r="P33" s="41">
        <f ca="1">'SC-NR'!J73</f>
        <v>0.42549712338753254</v>
      </c>
      <c r="Q33" s="41">
        <f ca="1">'SC-NR'!K73</f>
        <v>0.62838241921706761</v>
      </c>
      <c r="R33" s="41">
        <f ca="1">'SC-NR'!L73</f>
        <v>0.86424220547914476</v>
      </c>
      <c r="S33" s="41">
        <f ca="1">'SC-NR'!M73</f>
        <v>1.1172389548502579</v>
      </c>
      <c r="T33" s="41">
        <f ca="1">'SC-NR'!N73</f>
        <v>1.3690822472258442</v>
      </c>
      <c r="U33" s="41">
        <f ca="1">'SC-NR'!O73</f>
        <v>1.6028558394931933</v>
      </c>
      <c r="V33" s="41">
        <f ca="1">'SC-NR'!P73</f>
        <v>1.806017603463687</v>
      </c>
      <c r="W33" s="41">
        <f ca="1">'SC-NR'!Q73</f>
        <v>1.9718369190992133</v>
      </c>
      <c r="X33" s="41">
        <f ca="1">'SC-NR'!R73</f>
        <v>2.5165197983224399</v>
      </c>
      <c r="Y33" s="41">
        <f ca="1">'SC-NR'!S73</f>
        <v>2.6060910322779898</v>
      </c>
      <c r="Z33" s="41">
        <f ca="1">'SC-NR'!T73</f>
        <v>2.6536067264373102</v>
      </c>
      <c r="AA33" s="41">
        <f ca="1">'SC-NR'!U73</f>
        <v>2.6783323783946122</v>
      </c>
      <c r="AB33" s="41">
        <f ca="1">'SC-NR'!V73</f>
        <v>2.6808360718934456</v>
      </c>
      <c r="AC33" s="41">
        <f ca="1">'SC-NR'!W73</f>
        <v>2.6579271701626626</v>
      </c>
      <c r="AD33" s="41">
        <f ca="1">'SC-NR'!X73</f>
        <v>2.629558801104539</v>
      </c>
      <c r="AE33" s="41">
        <f ca="1">'SC-NR'!Y73</f>
        <v>33.234420006136958</v>
      </c>
      <c r="AF33" s="199">
        <f t="shared" si="2"/>
        <v>65.943780090889817</v>
      </c>
      <c r="AG33" s="199">
        <f t="shared" si="3"/>
        <v>58.538005129261556</v>
      </c>
      <c r="AH33" s="199">
        <f t="shared" si="4"/>
        <v>71.720517282066112</v>
      </c>
      <c r="AI33" s="199">
        <f t="shared" si="5"/>
        <v>74.712158153038672</v>
      </c>
      <c r="AJ33" s="199">
        <f t="shared" si="6"/>
        <v>86.110020791850786</v>
      </c>
      <c r="AK33" s="199">
        <f t="shared" si="7"/>
        <v>96.869401261164072</v>
      </c>
      <c r="AL33" s="199">
        <f t="shared" si="8"/>
        <v>81.413814132464239</v>
      </c>
      <c r="AM33" s="199">
        <f t="shared" si="9"/>
        <v>86.959332718700736</v>
      </c>
      <c r="AN33" s="199">
        <f t="shared" si="10"/>
        <v>77.467897130375164</v>
      </c>
      <c r="AO33" s="199">
        <f t="shared" si="11"/>
        <v>83.526381179724609</v>
      </c>
      <c r="AP33" s="199">
        <f t="shared" si="12"/>
        <v>77.195888722411439</v>
      </c>
      <c r="AQ33" s="199">
        <f t="shared" si="13"/>
        <v>68.025338890451181</v>
      </c>
      <c r="AR33" s="199"/>
      <c r="AS33" s="199">
        <f t="shared" si="14"/>
        <v>29.288526718230589</v>
      </c>
      <c r="AT33" s="199">
        <f t="shared" si="15"/>
        <v>24.250866406773813</v>
      </c>
      <c r="AU33" s="199">
        <f t="shared" si="16"/>
        <v>25.871804534774203</v>
      </c>
      <c r="AV33" s="199">
        <f t="shared" si="17"/>
        <v>33.502870014147675</v>
      </c>
      <c r="AW33" s="199">
        <f t="shared" si="18"/>
        <v>42.26966810644754</v>
      </c>
      <c r="AX33" s="199">
        <f t="shared" si="19"/>
        <v>38.659645925541625</v>
      </c>
      <c r="AY33" s="199">
        <f t="shared" si="20"/>
        <v>43.412732220357647</v>
      </c>
      <c r="AZ33" s="199">
        <f t="shared" si="21"/>
        <v>32.469753987115929</v>
      </c>
      <c r="BA33" s="199">
        <f t="shared" si="22"/>
        <v>40.930260815626625</v>
      </c>
      <c r="BB33" s="199">
        <f t="shared" si="23"/>
        <v>33.408232230799726</v>
      </c>
      <c r="BC33" s="199">
        <f t="shared" si="24"/>
        <v>40.465496373343314</v>
      </c>
      <c r="BD33" s="199">
        <f t="shared" si="25"/>
        <v>29.116246909024039</v>
      </c>
    </row>
    <row r="34" spans="1:56" ht="15">
      <c r="A34" s="56" t="str">
        <f>VLOOKUP(CONCATENATE($C34," - ",$B34),[2]ACHIEV!$B$12:$C$100,2,FALSE)</f>
        <v>LO3Slow</v>
      </c>
      <c r="B34" s="56" t="str">
        <f>'SC-NR'!$C$7</f>
        <v>NR</v>
      </c>
      <c r="C34" s="56" t="str">
        <f>'SC-NR'!$C$8</f>
        <v>HPWH</v>
      </c>
      <c r="D34" s="56" t="s">
        <v>546</v>
      </c>
      <c r="E34" s="56" t="str">
        <f>'SC-NR'!$A$9</f>
        <v>Water Heating</v>
      </c>
      <c r="F34" s="198">
        <f t="shared" si="1"/>
        <v>0.22459116393548048</v>
      </c>
      <c r="G34" s="58">
        <f>'SC-NR'!A74</f>
        <v>1009.2424439729974</v>
      </c>
      <c r="H34" s="58">
        <f>'SC-NR'!B74</f>
        <v>71.047447426738415</v>
      </c>
      <c r="I34" t="str">
        <f>'SC-NR'!C74</f>
        <v>Manufactured</v>
      </c>
      <c r="J34" s="7" t="str">
        <f>'SC-NR'!D74</f>
        <v>Manufactured Tier1_buffered</v>
      </c>
      <c r="K34" s="41">
        <f ca="1">'SC-NR'!E74</f>
        <v>4.7478469690320152E-3</v>
      </c>
      <c r="L34" s="41">
        <f ca="1">'SC-NR'!F74</f>
        <v>1.2080522690942121E-2</v>
      </c>
      <c r="M34" s="41">
        <f ca="1">'SC-NR'!G74</f>
        <v>2.656043717311005E-2</v>
      </c>
      <c r="N34" s="41">
        <f ca="1">'SC-NR'!H74</f>
        <v>5.1569147976268569E-2</v>
      </c>
      <c r="O34" s="41">
        <f ca="1">'SC-NR'!I74</f>
        <v>8.9941545631012823E-2</v>
      </c>
      <c r="P34" s="41">
        <f ca="1">'SC-NR'!J74</f>
        <v>0.14289089943622793</v>
      </c>
      <c r="Q34" s="41">
        <f ca="1">'SC-NR'!K74</f>
        <v>0.20924399276039116</v>
      </c>
      <c r="R34" s="41">
        <f ca="1">'SC-NR'!L74</f>
        <v>0.28535499238826662</v>
      </c>
      <c r="S34" s="41">
        <f ca="1">'SC-NR'!M74</f>
        <v>0.36577759884653555</v>
      </c>
      <c r="T34" s="41">
        <f ca="1">'SC-NR'!N74</f>
        <v>0.44444866381633957</v>
      </c>
      <c r="U34" s="41">
        <f ca="1">'SC-NR'!O74</f>
        <v>0.515949933327701</v>
      </c>
      <c r="V34" s="41">
        <f ca="1">'SC-NR'!P74</f>
        <v>0.57644265140441908</v>
      </c>
      <c r="W34" s="41">
        <f ca="1">'SC-NR'!Q74</f>
        <v>0.62405972125201514</v>
      </c>
      <c r="X34" s="41">
        <f ca="1">'SC-NR'!R74</f>
        <v>0.6908136129295076</v>
      </c>
      <c r="Y34" s="41">
        <f ca="1">'SC-NR'!S74</f>
        <v>0.71540219654100623</v>
      </c>
      <c r="Z34" s="41">
        <f ca="1">'SC-NR'!T74</f>
        <v>0.73076976595490195</v>
      </c>
      <c r="AA34" s="41">
        <f ca="1">'SC-NR'!U74</f>
        <v>0.7382100864897011</v>
      </c>
      <c r="AB34" s="41">
        <f ca="1">'SC-NR'!V74</f>
        <v>0.73727700711686273</v>
      </c>
      <c r="AC34" s="41">
        <f ca="1">'SC-NR'!W74</f>
        <v>0.73270503603570902</v>
      </c>
      <c r="AD34" s="41">
        <f ca="1">'SC-NR'!X74</f>
        <v>0.72591812593164884</v>
      </c>
      <c r="AE34" s="41">
        <f ca="1">'SC-NR'!Y74</f>
        <v>9.3409526934426754</v>
      </c>
      <c r="AF34" s="199">
        <f t="shared" si="2"/>
        <v>50.234325751920103</v>
      </c>
      <c r="AG34" s="199">
        <f t="shared" si="3"/>
        <v>44.409928196520703</v>
      </c>
      <c r="AH34" s="199">
        <f t="shared" si="4"/>
        <v>54.141618061593178</v>
      </c>
      <c r="AI34" s="199">
        <f t="shared" si="5"/>
        <v>56.216388345206006</v>
      </c>
      <c r="AJ34" s="199">
        <f t="shared" si="6"/>
        <v>64.338645698132723</v>
      </c>
      <c r="AK34" s="199">
        <f t="shared" si="7"/>
        <v>72.164140890073469</v>
      </c>
      <c r="AL34" s="199">
        <f t="shared" si="8"/>
        <v>60.608185692620822</v>
      </c>
      <c r="AM34" s="199">
        <f t="shared" si="9"/>
        <v>64.732616985313385</v>
      </c>
      <c r="AN34" s="199">
        <f t="shared" si="10"/>
        <v>57.791350895219111</v>
      </c>
      <c r="AO34" s="199">
        <f t="shared" si="11"/>
        <v>62.633926445036863</v>
      </c>
      <c r="AP34" s="199">
        <f t="shared" si="12"/>
        <v>58.196381121010731</v>
      </c>
      <c r="AQ34" s="199">
        <f t="shared" si="13"/>
        <v>51.974809966459198</v>
      </c>
      <c r="AR34" s="199"/>
      <c r="AS34" s="199">
        <f t="shared" si="14"/>
        <v>22.532768711463049</v>
      </c>
      <c r="AT34" s="199">
        <f t="shared" si="15"/>
        <v>18.599157647370813</v>
      </c>
      <c r="AU34" s="199">
        <f t="shared" si="16"/>
        <v>19.68136827353521</v>
      </c>
      <c r="AV34" s="199">
        <f t="shared" si="17"/>
        <v>25.299916141454915</v>
      </c>
      <c r="AW34" s="199">
        <f t="shared" si="18"/>
        <v>31.602315175484375</v>
      </c>
      <c r="AX34" s="199">
        <f t="shared" si="19"/>
        <v>28.807546416261605</v>
      </c>
      <c r="AY34" s="199">
        <f t="shared" si="20"/>
        <v>32.31888483724957</v>
      </c>
      <c r="AZ34" s="199">
        <f t="shared" si="21"/>
        <v>24.171553122207147</v>
      </c>
      <c r="BA34" s="199">
        <f t="shared" si="22"/>
        <v>30.540422906779348</v>
      </c>
      <c r="BB34" s="199">
        <f t="shared" si="23"/>
        <v>25.106241076682473</v>
      </c>
      <c r="BC34" s="199">
        <f t="shared" si="24"/>
        <v>30.602947645900013</v>
      </c>
      <c r="BD34" s="199">
        <f t="shared" si="25"/>
        <v>22.537003969502422</v>
      </c>
    </row>
    <row r="35" spans="1:56" ht="15">
      <c r="A35" s="56" t="str">
        <f>VLOOKUP(CONCATENATE($C35," - ",$B35),[2]ACHIEV!$B$12:$C$100,2,FALSE)</f>
        <v>LO3Slow</v>
      </c>
      <c r="B35" s="56" t="str">
        <f>'SC-NR'!$C$7</f>
        <v>NR</v>
      </c>
      <c r="C35" s="56" t="str">
        <f>'SC-NR'!$C$8</f>
        <v>HPWH</v>
      </c>
      <c r="D35" s="56" t="s">
        <v>546</v>
      </c>
      <c r="E35" s="56" t="str">
        <f>'SC-NR'!$A$9</f>
        <v>Water Heating</v>
      </c>
      <c r="F35" s="198">
        <f t="shared" si="1"/>
        <v>0.18208105295500426</v>
      </c>
      <c r="G35" s="58">
        <f>'SC-NR'!A75</f>
        <v>1038.3745091059893</v>
      </c>
      <c r="H35" s="58">
        <f>'SC-NR'!B75</f>
        <v>80.520363180245837</v>
      </c>
      <c r="I35" t="str">
        <f>'SC-NR'!C75</f>
        <v>Manufactured</v>
      </c>
      <c r="J35" s="7" t="str">
        <f>'SC-NR'!D75</f>
        <v>Manufactured Tier1_indor2_zonl</v>
      </c>
      <c r="K35" s="41">
        <f ca="1">'SC-NR'!E75</f>
        <v>5.6299331385540111E-4</v>
      </c>
      <c r="L35" s="41">
        <f ca="1">'SC-NR'!F75</f>
        <v>1.4324921479652291E-3</v>
      </c>
      <c r="M35" s="41">
        <f ca="1">'SC-NR'!G75</f>
        <v>3.149500950445772E-3</v>
      </c>
      <c r="N35" s="41">
        <f ca="1">'SC-NR'!H75</f>
        <v>6.1150002730139021E-3</v>
      </c>
      <c r="O35" s="41">
        <f ca="1">'SC-NR'!I75</f>
        <v>1.0665147625515065E-2</v>
      </c>
      <c r="P35" s="41">
        <f ca="1">'SC-NR'!J75</f>
        <v>1.6943810851128213E-2</v>
      </c>
      <c r="Q35" s="41">
        <f ca="1">'SC-NR'!K75</f>
        <v>2.481187149815103E-2</v>
      </c>
      <c r="R35" s="41">
        <f ca="1">'SC-NR'!L75</f>
        <v>3.3837011562865664E-2</v>
      </c>
      <c r="S35" s="41">
        <f ca="1">'SC-NR'!M75</f>
        <v>4.3373416171976466E-2</v>
      </c>
      <c r="T35" s="41">
        <f ca="1">'SC-NR'!N75</f>
        <v>5.2702125344949988E-2</v>
      </c>
      <c r="U35" s="41">
        <f ca="1">'SC-NR'!O75</f>
        <v>6.1180649806591741E-2</v>
      </c>
      <c r="V35" s="41">
        <f ca="1">'SC-NR'!P75</f>
        <v>6.8353795031420972E-2</v>
      </c>
      <c r="W35" s="41">
        <f ca="1">'SC-NR'!Q75</f>
        <v>7.4000163190386284E-2</v>
      </c>
      <c r="X35" s="41">
        <f ca="1">'SC-NR'!R75</f>
        <v>8.1915749967589865E-2</v>
      </c>
      <c r="Y35" s="41">
        <f ca="1">'SC-NR'!S75</f>
        <v>8.4831431172300339E-2</v>
      </c>
      <c r="Z35" s="41">
        <f ca="1">'SC-NR'!T75</f>
        <v>8.6653696903833802E-2</v>
      </c>
      <c r="AA35" s="41">
        <f ca="1">'SC-NR'!U75</f>
        <v>8.7535960115212516E-2</v>
      </c>
      <c r="AB35" s="41">
        <f ca="1">'SC-NR'!V75</f>
        <v>8.7425316816970008E-2</v>
      </c>
      <c r="AC35" s="41">
        <f ca="1">'SC-NR'!W75</f>
        <v>8.6883178629572927E-2</v>
      </c>
      <c r="AD35" s="41">
        <f ca="1">'SC-NR'!X75</f>
        <v>8.6078395949076694E-2</v>
      </c>
      <c r="AE35" s="41">
        <f ca="1">'SC-NR'!Y75</f>
        <v>1.1076376188510562</v>
      </c>
      <c r="AF35" s="199">
        <f t="shared" si="2"/>
        <v>34.977131022224988</v>
      </c>
      <c r="AG35" s="199">
        <f t="shared" si="3"/>
        <v>33.806910881646338</v>
      </c>
      <c r="AH35" s="199">
        <f t="shared" si="4"/>
        <v>50.722527507709643</v>
      </c>
      <c r="AI35" s="199">
        <f t="shared" si="5"/>
        <v>55.600339557692742</v>
      </c>
      <c r="AJ35" s="199">
        <f t="shared" si="6"/>
        <v>79.98917006781069</v>
      </c>
      <c r="AK35" s="199">
        <f t="shared" si="7"/>
        <v>95.702179821828977</v>
      </c>
      <c r="AL35" s="199">
        <f t="shared" si="8"/>
        <v>81.237480026984386</v>
      </c>
      <c r="AM35" s="199">
        <f t="shared" si="9"/>
        <v>86.845812806063719</v>
      </c>
      <c r="AN35" s="199">
        <f t="shared" si="10"/>
        <v>74.607492615127285</v>
      </c>
      <c r="AO35" s="199">
        <f t="shared" si="11"/>
        <v>73.163604088122753</v>
      </c>
      <c r="AP35" s="199">
        <f t="shared" si="12"/>
        <v>57.197757271584415</v>
      </c>
      <c r="AQ35" s="199">
        <f t="shared" si="13"/>
        <v>32.843318389286459</v>
      </c>
      <c r="AR35" s="199"/>
      <c r="AS35" s="199">
        <f t="shared" si="14"/>
        <v>3.6706311802732134</v>
      </c>
      <c r="AT35" s="199">
        <f t="shared" si="15"/>
        <v>4.8520653792978647</v>
      </c>
      <c r="AU35" s="199">
        <f t="shared" si="16"/>
        <v>10.679555858915515</v>
      </c>
      <c r="AV35" s="199">
        <f t="shared" si="17"/>
        <v>19.034865685269725</v>
      </c>
      <c r="AW35" s="199">
        <f t="shared" si="18"/>
        <v>37.930272977697406</v>
      </c>
      <c r="AX35" s="199">
        <f t="shared" si="19"/>
        <v>37.723659187225685</v>
      </c>
      <c r="AY35" s="199">
        <f t="shared" si="20"/>
        <v>43.164513320441429</v>
      </c>
      <c r="AZ35" s="199">
        <f t="shared" si="21"/>
        <v>32.25155285826618</v>
      </c>
      <c r="BA35" s="199">
        <f t="shared" si="22"/>
        <v>38.650686950620631</v>
      </c>
      <c r="BB35" s="199">
        <f t="shared" si="23"/>
        <v>26.748041987506941</v>
      </c>
      <c r="BC35" s="199">
        <f t="shared" si="24"/>
        <v>25.130145209231806</v>
      </c>
      <c r="BD35" s="199">
        <f t="shared" si="25"/>
        <v>1.844794455160186</v>
      </c>
    </row>
    <row r="36" spans="1:56" ht="15">
      <c r="A36" s="56" t="str">
        <f>VLOOKUP(CONCATENATE($C36," - ",$B36),[2]ACHIEV!$B$12:$C$100,2,FALSE)</f>
        <v>LO3Slow</v>
      </c>
      <c r="B36" s="56" t="str">
        <f>'SC-NR'!$C$7</f>
        <v>NR</v>
      </c>
      <c r="C36" s="56" t="str">
        <f>'SC-NR'!$C$8</f>
        <v>HPWH</v>
      </c>
      <c r="D36" s="56" t="s">
        <v>546</v>
      </c>
      <c r="E36" s="56" t="str">
        <f>'SC-NR'!$A$9</f>
        <v>Water Heating</v>
      </c>
      <c r="F36" s="198">
        <f t="shared" si="1"/>
        <v>0.1788373356834887</v>
      </c>
      <c r="G36" s="58">
        <f>'SC-NR'!A76</f>
        <v>1026.0267452906901</v>
      </c>
      <c r="H36" s="58">
        <f>'SC-NR'!B76</f>
        <v>81.814022161149751</v>
      </c>
      <c r="I36" t="str">
        <f>'SC-NR'!C76</f>
        <v>Single Family</v>
      </c>
      <c r="J36" s="7" t="str">
        <f>'SC-NR'!D76</f>
        <v>Single Family Tier1_indor2_zonl</v>
      </c>
      <c r="K36" s="41">
        <f ca="1">'SC-NR'!E76</f>
        <v>4.3433835227725355E-3</v>
      </c>
      <c r="L36" s="41">
        <f ca="1">'SC-NR'!F76</f>
        <v>1.1145412876218072E-2</v>
      </c>
      <c r="M36" s="41">
        <f ca="1">'SC-NR'!G76</f>
        <v>2.4712951901128783E-2</v>
      </c>
      <c r="N36" s="41">
        <f ca="1">'SC-NR'!H76</f>
        <v>4.8390301703994394E-2</v>
      </c>
      <c r="O36" s="41">
        <f ca="1">'SC-NR'!I76</f>
        <v>8.5115310797010665E-2</v>
      </c>
      <c r="P36" s="41">
        <f ca="1">'SC-NR'!J76</f>
        <v>0.13637378099977088</v>
      </c>
      <c r="Q36" s="41">
        <f ca="1">'SC-NR'!K76</f>
        <v>0.20139944951958172</v>
      </c>
      <c r="R36" s="41">
        <f ca="1">'SC-NR'!L76</f>
        <v>0.27699359356990966</v>
      </c>
      <c r="S36" s="41">
        <f ca="1">'SC-NR'!M76</f>
        <v>0.35808021295221365</v>
      </c>
      <c r="T36" s="41">
        <f ca="1">'SC-NR'!N76</f>
        <v>0.43879714407329451</v>
      </c>
      <c r="U36" s="41">
        <f ca="1">'SC-NR'!O76</f>
        <v>0.51372265337306267</v>
      </c>
      <c r="V36" s="41">
        <f ca="1">'SC-NR'!P76</f>
        <v>0.578836931200989</v>
      </c>
      <c r="W36" s="41">
        <f ca="1">'SC-NR'!Q76</f>
        <v>0.63198278294254195</v>
      </c>
      <c r="X36" s="41">
        <f ca="1">'SC-NR'!R76</f>
        <v>0.80655614572849932</v>
      </c>
      <c r="Y36" s="41">
        <f ca="1">'SC-NR'!S76</f>
        <v>0.83526413732685412</v>
      </c>
      <c r="Z36" s="41">
        <f ca="1">'SC-NR'!T76</f>
        <v>0.8504931353932722</v>
      </c>
      <c r="AA36" s="41">
        <f ca="1">'SC-NR'!U76</f>
        <v>0.85841782033181313</v>
      </c>
      <c r="AB36" s="41">
        <f ca="1">'SC-NR'!V76</f>
        <v>0.85922026558968523</v>
      </c>
      <c r="AC36" s="41">
        <f ca="1">'SC-NR'!W76</f>
        <v>0.85187785743729527</v>
      </c>
      <c r="AD36" s="41">
        <f ca="1">'SC-NR'!X76</f>
        <v>0.84278566494853502</v>
      </c>
      <c r="AE36" s="41">
        <f ca="1">'SC-NR'!Y76</f>
        <v>10.651784151883472</v>
      </c>
      <c r="AF36" s="199">
        <f t="shared" si="2"/>
        <v>34.193416638527893</v>
      </c>
      <c r="AG36" s="199">
        <f t="shared" si="3"/>
        <v>33.143268270888505</v>
      </c>
      <c r="AH36" s="199">
        <f t="shared" si="4"/>
        <v>50.009694204389355</v>
      </c>
      <c r="AI36" s="199">
        <f t="shared" si="5"/>
        <v>54.889888728679303</v>
      </c>
      <c r="AJ36" s="199">
        <f t="shared" si="6"/>
        <v>79.341625708320322</v>
      </c>
      <c r="AK36" s="199">
        <f t="shared" si="7"/>
        <v>95.036445240967083</v>
      </c>
      <c r="AL36" s="199">
        <f t="shared" si="8"/>
        <v>80.687062580798468</v>
      </c>
      <c r="AM36" s="199">
        <f t="shared" si="9"/>
        <v>86.258749458346529</v>
      </c>
      <c r="AN36" s="199">
        <f t="shared" si="10"/>
        <v>74.053763908369731</v>
      </c>
      <c r="AO36" s="199">
        <f t="shared" si="11"/>
        <v>72.485580477409869</v>
      </c>
      <c r="AP36" s="199">
        <f t="shared" si="12"/>
        <v>56.458630855903763</v>
      </c>
      <c r="AQ36" s="199">
        <f t="shared" si="13"/>
        <v>31.998584937939611</v>
      </c>
      <c r="AR36" s="199"/>
      <c r="AS36" s="199">
        <f t="shared" si="14"/>
        <v>3.1974406313049721</v>
      </c>
      <c r="AT36" s="199">
        <f t="shared" si="15"/>
        <v>4.4799259586474962</v>
      </c>
      <c r="AU36" s="199">
        <f t="shared" si="16"/>
        <v>10.341892222121775</v>
      </c>
      <c r="AV36" s="199">
        <f t="shared" si="17"/>
        <v>18.654521206408294</v>
      </c>
      <c r="AW36" s="199">
        <f t="shared" si="18"/>
        <v>37.59844766787343</v>
      </c>
      <c r="AX36" s="199">
        <f t="shared" si="19"/>
        <v>37.453041289868231</v>
      </c>
      <c r="AY36" s="199">
        <f t="shared" si="20"/>
        <v>42.869440242724785</v>
      </c>
      <c r="AZ36" s="199">
        <f t="shared" si="21"/>
        <v>32.030546156708972</v>
      </c>
      <c r="BA36" s="199">
        <f t="shared" si="22"/>
        <v>38.350204617460349</v>
      </c>
      <c r="BB36" s="199">
        <f t="shared" si="23"/>
        <v>26.450158080817683</v>
      </c>
      <c r="BC36" s="199">
        <f t="shared" si="24"/>
        <v>24.691389637115709</v>
      </c>
      <c r="BD36" s="199">
        <f t="shared" si="25"/>
        <v>1.3530265690975645</v>
      </c>
    </row>
    <row r="37" spans="1:56" ht="15">
      <c r="A37" s="56" t="str">
        <f>VLOOKUP(CONCATENATE($C37," - ",$B37),[2]ACHIEV!$B$12:$C$100,2,FALSE)</f>
        <v>LO3Slow</v>
      </c>
      <c r="B37" s="56" t="str">
        <f>'SC-NR'!$C$7</f>
        <v>NR</v>
      </c>
      <c r="C37" s="56" t="str">
        <f>'SC-NR'!$C$8</f>
        <v>HPWH</v>
      </c>
      <c r="D37" s="56" t="s">
        <v>546</v>
      </c>
      <c r="E37" s="56" t="str">
        <f>'SC-NR'!$A$9</f>
        <v>Water Heating</v>
      </c>
      <c r="F37" s="198">
        <f t="shared" si="1"/>
        <v>0.11198994195198492</v>
      </c>
      <c r="G37" s="58">
        <f>'SC-NR'!A77</f>
        <v>998.36291367990407</v>
      </c>
      <c r="H37" s="58">
        <f>'SC-NR'!B77</f>
        <v>88.894732127246641</v>
      </c>
      <c r="I37" t="str">
        <f>'SC-NR'!C77</f>
        <v>Manufactured</v>
      </c>
      <c r="J37" s="7" t="str">
        <f>'SC-NR'!D77</f>
        <v>Manufactured Tier1_indor2_efaf</v>
      </c>
      <c r="K37" s="41">
        <f ca="1">'SC-NR'!E77</f>
        <v>6.9339712699933356E-3</v>
      </c>
      <c r="L37" s="41">
        <f ca="1">'SC-NR'!F77</f>
        <v>1.7642943804183596E-2</v>
      </c>
      <c r="M37" s="41">
        <f ca="1">'SC-NR'!G77</f>
        <v>3.8790068314766328E-2</v>
      </c>
      <c r="N37" s="41">
        <f ca="1">'SC-NR'!H77</f>
        <v>7.5313924989116501E-2</v>
      </c>
      <c r="O37" s="41">
        <f ca="1">'SC-NR'!I77</f>
        <v>0.13135471666463316</v>
      </c>
      <c r="P37" s="41">
        <f ca="1">'SC-NR'!J77</f>
        <v>0.20868435690889908</v>
      </c>
      <c r="Q37" s="41">
        <f ca="1">'SC-NR'!K77</f>
        <v>0.3055894268881737</v>
      </c>
      <c r="R37" s="41">
        <f ca="1">'SC-NR'!L77</f>
        <v>0.41674538625089902</v>
      </c>
      <c r="S37" s="41">
        <f ca="1">'SC-NR'!M77</f>
        <v>0.53419821197946515</v>
      </c>
      <c r="T37" s="41">
        <f ca="1">'SC-NR'!N77</f>
        <v>0.64909300699675621</v>
      </c>
      <c r="U37" s="41">
        <f ca="1">'SC-NR'!O77</f>
        <v>0.75351670721153197</v>
      </c>
      <c r="V37" s="41">
        <f ca="1">'SC-NR'!P77</f>
        <v>0.84186301911325867</v>
      </c>
      <c r="W37" s="41">
        <f ca="1">'SC-NR'!Q77</f>
        <v>0.91140514977544662</v>
      </c>
      <c r="X37" s="41">
        <f ca="1">'SC-NR'!R77</f>
        <v>1.00889556386652</v>
      </c>
      <c r="Y37" s="41">
        <f ca="1">'SC-NR'!S77</f>
        <v>1.0448058477160271</v>
      </c>
      <c r="Z37" s="41">
        <f ca="1">'SC-NR'!T77</f>
        <v>1.0672493437892179</v>
      </c>
      <c r="AA37" s="41">
        <f ca="1">'SC-NR'!U77</f>
        <v>1.0781155256953203</v>
      </c>
      <c r="AB37" s="41">
        <f ca="1">'SC-NR'!V77</f>
        <v>1.0767528142166047</v>
      </c>
      <c r="AC37" s="41">
        <f ca="1">'SC-NR'!W77</f>
        <v>1.0700757000781886</v>
      </c>
      <c r="AD37" s="41">
        <f ca="1">'SC-NR'!X77</f>
        <v>1.0601637884305444</v>
      </c>
      <c r="AE37" s="41">
        <f ca="1">'SC-NR'!Y77</f>
        <v>13.641951400953339</v>
      </c>
      <c r="AF37" s="199">
        <f t="shared" si="2"/>
        <v>27.090454483102757</v>
      </c>
      <c r="AG37" s="199">
        <f t="shared" si="3"/>
        <v>30.260429682034751</v>
      </c>
      <c r="AH37" s="199">
        <f t="shared" si="4"/>
        <v>46.221723760706858</v>
      </c>
      <c r="AI37" s="199">
        <f t="shared" si="5"/>
        <v>54.387511169452907</v>
      </c>
      <c r="AJ37" s="199">
        <f t="shared" si="6"/>
        <v>78.106487441246813</v>
      </c>
      <c r="AK37" s="199">
        <f t="shared" si="7"/>
        <v>95.121342460702607</v>
      </c>
      <c r="AL37" s="199">
        <f t="shared" si="8"/>
        <v>81.375316149205062</v>
      </c>
      <c r="AM37" s="199">
        <f t="shared" si="9"/>
        <v>87.050964563289284</v>
      </c>
      <c r="AN37" s="199">
        <f t="shared" si="10"/>
        <v>73.331180053190351</v>
      </c>
      <c r="AO37" s="199">
        <f t="shared" si="11"/>
        <v>68.095568883146186</v>
      </c>
      <c r="AP37" s="199">
        <f t="shared" si="12"/>
        <v>52.419995974689186</v>
      </c>
      <c r="AQ37" s="199">
        <f t="shared" si="13"/>
        <v>22.686449061177232</v>
      </c>
      <c r="AR37" s="199"/>
      <c r="AS37" s="199">
        <f t="shared" si="14"/>
        <v>4.5071029228739778</v>
      </c>
      <c r="AT37" s="199">
        <f t="shared" si="15"/>
        <v>5.7005570953532034</v>
      </c>
      <c r="AU37" s="199">
        <f t="shared" si="16"/>
        <v>11.549997896392105</v>
      </c>
      <c r="AV37" s="199">
        <f t="shared" si="17"/>
        <v>21.29626434737694</v>
      </c>
      <c r="AW37" s="199">
        <f t="shared" si="18"/>
        <v>37.669088075965071</v>
      </c>
      <c r="AX37" s="199">
        <f t="shared" si="19"/>
        <v>37.706123272775855</v>
      </c>
      <c r="AY37" s="199">
        <f t="shared" si="20"/>
        <v>43.37686410932703</v>
      </c>
      <c r="AZ37" s="199">
        <f t="shared" si="21"/>
        <v>32.468810817881561</v>
      </c>
      <c r="BA37" s="199">
        <f t="shared" si="22"/>
        <v>38.530930319561165</v>
      </c>
      <c r="BB37" s="199">
        <f t="shared" si="23"/>
        <v>25.387868137651569</v>
      </c>
      <c r="BC37" s="199">
        <f t="shared" si="24"/>
        <v>24.187963074863529</v>
      </c>
      <c r="BD37" s="199">
        <f t="shared" si="25"/>
        <v>-0.16608007206226946</v>
      </c>
    </row>
    <row r="38" spans="1:56" ht="15">
      <c r="A38" s="56" t="str">
        <f>VLOOKUP(CONCATENATE($C38," - ",$B38),[2]ACHIEV!$B$12:$C$100,2,FALSE)</f>
        <v>LO3Slow</v>
      </c>
      <c r="B38" s="56" t="str">
        <f>'SC-NR'!$C$7</f>
        <v>NR</v>
      </c>
      <c r="C38" s="56" t="str">
        <f>'SC-NR'!$C$8</f>
        <v>HPWH</v>
      </c>
      <c r="D38" s="56" t="s">
        <v>546</v>
      </c>
      <c r="E38" s="56" t="str">
        <f>'SC-NR'!$A$9</f>
        <v>Water Heating</v>
      </c>
      <c r="F38" s="198">
        <f t="shared" si="1"/>
        <v>0.10813779899635631</v>
      </c>
      <c r="G38" s="58">
        <f>'SC-NR'!A78</f>
        <v>985.78061802533921</v>
      </c>
      <c r="H38" s="58">
        <f>'SC-NR'!B78</f>
        <v>90.414656755049762</v>
      </c>
      <c r="I38" t="str">
        <f>'SC-NR'!C78</f>
        <v>Single Family</v>
      </c>
      <c r="J38" s="7" t="str">
        <f>'SC-NR'!D78</f>
        <v>Single Family Tier1_indor2_efaf</v>
      </c>
      <c r="K38" s="41">
        <f ca="1">'SC-NR'!E78</f>
        <v>1.5494565423348427E-3</v>
      </c>
      <c r="L38" s="41">
        <f ca="1">'SC-NR'!F78</f>
        <v>3.9760092120659568E-3</v>
      </c>
      <c r="M38" s="41">
        <f ca="1">'SC-NR'!G78</f>
        <v>8.816086537798383E-3</v>
      </c>
      <c r="N38" s="41">
        <f ca="1">'SC-NR'!H78</f>
        <v>1.7262732882715692E-2</v>
      </c>
      <c r="O38" s="41">
        <f ca="1">'SC-NR'!I78</f>
        <v>3.0363994907616706E-2</v>
      </c>
      <c r="P38" s="41">
        <f ca="1">'SC-NR'!J78</f>
        <v>4.8649916836759191E-2</v>
      </c>
      <c r="Q38" s="41">
        <f ca="1">'SC-NR'!K78</f>
        <v>7.1847142451181234E-2</v>
      </c>
      <c r="R38" s="41">
        <f ca="1">'SC-NR'!L78</f>
        <v>9.881456092732234E-2</v>
      </c>
      <c r="S38" s="41">
        <f ca="1">'SC-NR'!M78</f>
        <v>0.1277413624034042</v>
      </c>
      <c r="T38" s="41">
        <f ca="1">'SC-NR'!N78</f>
        <v>0.15653628146754303</v>
      </c>
      <c r="U38" s="41">
        <f ca="1">'SC-NR'!O78</f>
        <v>0.18326517150536983</v>
      </c>
      <c r="V38" s="41">
        <f ca="1">'SC-NR'!P78</f>
        <v>0.20649400756161718</v>
      </c>
      <c r="W38" s="41">
        <f ca="1">'SC-NR'!Q78</f>
        <v>0.225453233070292</v>
      </c>
      <c r="X38" s="41">
        <f ca="1">'SC-NR'!R78</f>
        <v>0.28773045028306754</v>
      </c>
      <c r="Y38" s="41">
        <f ca="1">'SC-NR'!S78</f>
        <v>0.29797172535494287</v>
      </c>
      <c r="Z38" s="41">
        <f ca="1">'SC-NR'!T78</f>
        <v>0.30340451077752834</v>
      </c>
      <c r="AA38" s="41">
        <f ca="1">'SC-NR'!U78</f>
        <v>0.30623155905903177</v>
      </c>
      <c r="AB38" s="41">
        <f ca="1">'SC-NR'!V78</f>
        <v>0.30651782299316427</v>
      </c>
      <c r="AC38" s="41">
        <f ca="1">'SC-NR'!W78</f>
        <v>0.30389849585141765</v>
      </c>
      <c r="AD38" s="41">
        <f ca="1">'SC-NR'!X78</f>
        <v>0.30065495148974342</v>
      </c>
      <c r="AE38" s="41">
        <f ca="1">'SC-NR'!Y78</f>
        <v>3.7999123391109237</v>
      </c>
      <c r="AF38" s="199">
        <f t="shared" si="2"/>
        <v>26.248341801449509</v>
      </c>
      <c r="AG38" s="199">
        <f t="shared" si="3"/>
        <v>29.576221050421928</v>
      </c>
      <c r="AH38" s="199">
        <f t="shared" si="4"/>
        <v>45.476679961062153</v>
      </c>
      <c r="AI38" s="199">
        <f t="shared" si="5"/>
        <v>53.674979923464861</v>
      </c>
      <c r="AJ38" s="199">
        <f t="shared" si="6"/>
        <v>77.442470156381376</v>
      </c>
      <c r="AK38" s="199">
        <f t="shared" si="7"/>
        <v>94.448322198690832</v>
      </c>
      <c r="AL38" s="199">
        <f t="shared" si="8"/>
        <v>80.824261469779458</v>
      </c>
      <c r="AM38" s="199">
        <f t="shared" si="9"/>
        <v>86.463728006887962</v>
      </c>
      <c r="AN38" s="199">
        <f t="shared" si="10"/>
        <v>72.765035708257329</v>
      </c>
      <c r="AO38" s="199">
        <f t="shared" si="11"/>
        <v>67.373310126020826</v>
      </c>
      <c r="AP38" s="199">
        <f t="shared" si="12"/>
        <v>51.64528769125814</v>
      </c>
      <c r="AQ38" s="199">
        <f t="shared" si="13"/>
        <v>21.764140901892993</v>
      </c>
      <c r="AR38" s="199"/>
      <c r="AS38" s="199">
        <f t="shared" si="14"/>
        <v>4.0563714093979382</v>
      </c>
      <c r="AT38" s="199">
        <f t="shared" si="15"/>
        <v>5.3474214159402713</v>
      </c>
      <c r="AU38" s="199">
        <f t="shared" si="16"/>
        <v>11.229005594546122</v>
      </c>
      <c r="AV38" s="199">
        <f t="shared" si="17"/>
        <v>20.945220644013961</v>
      </c>
      <c r="AW38" s="199">
        <f t="shared" si="18"/>
        <v>37.336286753053059</v>
      </c>
      <c r="AX38" s="199">
        <f t="shared" si="19"/>
        <v>37.43491872840292</v>
      </c>
      <c r="AY38" s="199">
        <f t="shared" si="20"/>
        <v>43.082865834269555</v>
      </c>
      <c r="AZ38" s="199">
        <f t="shared" si="21"/>
        <v>32.249184087788024</v>
      </c>
      <c r="BA38" s="199">
        <f t="shared" si="22"/>
        <v>38.229628795235804</v>
      </c>
      <c r="BB38" s="199">
        <f t="shared" si="23"/>
        <v>25.080140703318449</v>
      </c>
      <c r="BC38" s="199">
        <f t="shared" si="24"/>
        <v>23.748325337627794</v>
      </c>
      <c r="BD38" s="199">
        <f t="shared" si="25"/>
        <v>-0.6615302738223553</v>
      </c>
    </row>
    <row r="39" spans="1:56" ht="15">
      <c r="A39" s="56" t="str">
        <f>VLOOKUP(CONCATENATE($C39," - ",$B39),[2]ACHIEV!$B$12:$C$100,2,FALSE)</f>
        <v>LO3Slow</v>
      </c>
      <c r="B39" s="56" t="str">
        <f>'SC-NR'!$C$7</f>
        <v>NR</v>
      </c>
      <c r="C39" s="56" t="str">
        <f>'SC-NR'!$C$8</f>
        <v>HPWH</v>
      </c>
      <c r="D39" s="56" t="s">
        <v>546</v>
      </c>
      <c r="E39" s="56" t="str">
        <f>'SC-NR'!$A$9</f>
        <v>Water Heating</v>
      </c>
      <c r="F39" s="198">
        <f t="shared" si="1"/>
        <v>7.0559843897636976E-2</v>
      </c>
      <c r="G39" s="58">
        <f>'SC-NR'!A79</f>
        <v>317.07386640893014</v>
      </c>
      <c r="H39" s="58">
        <f>'SC-NR'!B79</f>
        <v>422.42149509679393</v>
      </c>
      <c r="I39" t="str">
        <f>'SC-NR'!C79</f>
        <v>Manufactured</v>
      </c>
      <c r="J39" s="7" t="str">
        <f>'SC-NR'!D79</f>
        <v>Manufactured Tier2_buffered</v>
      </c>
      <c r="K39" s="41">
        <f ca="1">'SC-NR'!E79</f>
        <v>1.6950362177129738E-3</v>
      </c>
      <c r="L39" s="41">
        <f ca="1">'SC-NR'!F79</f>
        <v>4.3128861615826467E-3</v>
      </c>
      <c r="M39" s="41">
        <f ca="1">'SC-NR'!G79</f>
        <v>9.4823829117412183E-3</v>
      </c>
      <c r="N39" s="41">
        <f ca="1">'SC-NR'!H79</f>
        <v>1.8410781583003778E-2</v>
      </c>
      <c r="O39" s="41">
        <f ca="1">'SC-NR'!I79</f>
        <v>3.2110170845024738E-2</v>
      </c>
      <c r="P39" s="41">
        <f ca="1">'SC-NR'!J79</f>
        <v>5.1013701853867721E-2</v>
      </c>
      <c r="Q39" s="41">
        <f ca="1">'SC-NR'!K79</f>
        <v>7.4702522718428144E-2</v>
      </c>
      <c r="R39" s="41">
        <f ca="1">'SC-NR'!L79</f>
        <v>0.10187502886217401</v>
      </c>
      <c r="S39" s="41">
        <f ca="1">'SC-NR'!M79</f>
        <v>0.13058682845445022</v>
      </c>
      <c r="T39" s="41">
        <f ca="1">'SC-NR'!N79</f>
        <v>0.15867330750056308</v>
      </c>
      <c r="U39" s="41">
        <f ca="1">'SC-NR'!O79</f>
        <v>0.1842000867385476</v>
      </c>
      <c r="V39" s="41">
        <f ca="1">'SC-NR'!P79</f>
        <v>0.20579668593745618</v>
      </c>
      <c r="W39" s="41">
        <f ca="1">'SC-NR'!Q79</f>
        <v>0.22279652997191954</v>
      </c>
      <c r="X39" s="41">
        <f ca="1">'SC-NR'!R79</f>
        <v>0.24662844047886395</v>
      </c>
      <c r="Y39" s="41">
        <f ca="1">'SC-NR'!S79</f>
        <v>0.25540684888916104</v>
      </c>
      <c r="Z39" s="41">
        <f ca="1">'SC-NR'!T79</f>
        <v>0.26089324870462977</v>
      </c>
      <c r="AA39" s="41">
        <f ca="1">'SC-NR'!U79</f>
        <v>0.26354952909027357</v>
      </c>
      <c r="AB39" s="41">
        <f ca="1">'SC-NR'!V79</f>
        <v>0.26321640897471849</v>
      </c>
      <c r="AC39" s="41">
        <f ca="1">'SC-NR'!W79</f>
        <v>0.26158416248079414</v>
      </c>
      <c r="AD39" s="41">
        <f ca="1">'SC-NR'!X79</f>
        <v>0.25916115716748483</v>
      </c>
      <c r="AE39" s="41">
        <f ca="1">'SC-NR'!Y79</f>
        <v>3.3348280234392118</v>
      </c>
      <c r="AF39" s="199">
        <f t="shared" si="2"/>
        <v>15.782126562784688</v>
      </c>
      <c r="AG39" s="199">
        <f t="shared" si="3"/>
        <v>13.952274476831256</v>
      </c>
      <c r="AH39" s="199">
        <f t="shared" si="4"/>
        <v>17.009680901026879</v>
      </c>
      <c r="AI39" s="199">
        <f t="shared" si="5"/>
        <v>17.66151174182901</v>
      </c>
      <c r="AJ39" s="199">
        <f t="shared" si="6"/>
        <v>20.213282520921691</v>
      </c>
      <c r="AK39" s="199">
        <f t="shared" si="7"/>
        <v>22.671819437326988</v>
      </c>
      <c r="AL39" s="199">
        <f t="shared" si="8"/>
        <v>19.041284959685882</v>
      </c>
      <c r="AM39" s="199">
        <f t="shared" si="9"/>
        <v>20.337058169953124</v>
      </c>
      <c r="AN39" s="199">
        <f t="shared" si="10"/>
        <v>18.156318403870539</v>
      </c>
      <c r="AO39" s="199">
        <f t="shared" si="11"/>
        <v>19.677710652405072</v>
      </c>
      <c r="AP39" s="199">
        <f t="shared" si="12"/>
        <v>18.283566411873121</v>
      </c>
      <c r="AQ39" s="199">
        <f t="shared" si="13"/>
        <v>16.328934888659941</v>
      </c>
      <c r="AR39" s="199"/>
      <c r="AS39" s="199">
        <f t="shared" si="14"/>
        <v>7.0791238865912787</v>
      </c>
      <c r="AT39" s="199">
        <f t="shared" si="15"/>
        <v>5.8433005707500358</v>
      </c>
      <c r="AU39" s="199">
        <f t="shared" si="16"/>
        <v>6.1832987588485828</v>
      </c>
      <c r="AV39" s="199">
        <f t="shared" si="17"/>
        <v>7.9484787662120802</v>
      </c>
      <c r="AW39" s="199">
        <f t="shared" si="18"/>
        <v>9.9285043341848311</v>
      </c>
      <c r="AX39" s="199">
        <f t="shared" si="19"/>
        <v>9.0504713187302794</v>
      </c>
      <c r="AY39" s="199">
        <f t="shared" si="20"/>
        <v>10.153629614895326</v>
      </c>
      <c r="AZ39" s="199">
        <f t="shared" si="21"/>
        <v>7.5939809631929096</v>
      </c>
      <c r="BA39" s="199">
        <f t="shared" si="22"/>
        <v>9.5948896602107876</v>
      </c>
      <c r="BB39" s="199">
        <f t="shared" si="23"/>
        <v>7.8876317861059704</v>
      </c>
      <c r="BC39" s="199">
        <f t="shared" si="24"/>
        <v>9.6145330494455212</v>
      </c>
      <c r="BD39" s="199">
        <f t="shared" si="25"/>
        <v>7.080454572594256</v>
      </c>
    </row>
    <row r="40" spans="1:56" ht="15">
      <c r="A40" s="56" t="str">
        <f>VLOOKUP(CONCATENATE($C40," - ",$B40),[2]ACHIEV!$B$12:$C$100,2,FALSE)</f>
        <v>LO3Slow</v>
      </c>
      <c r="B40" s="56" t="str">
        <f>'SC-NR'!$C$7</f>
        <v>NR</v>
      </c>
      <c r="C40" s="56" t="str">
        <f>'SC-NR'!$C$8</f>
        <v>HPWH</v>
      </c>
      <c r="D40" s="56" t="s">
        <v>546</v>
      </c>
      <c r="E40" s="56" t="str">
        <f>'SC-NR'!$A$9</f>
        <v>Water Heating</v>
      </c>
      <c r="F40" s="198">
        <f t="shared" si="1"/>
        <v>4.5378780982980753E-2</v>
      </c>
      <c r="G40" s="58">
        <f>'SC-NR'!A80</f>
        <v>203.91805256806657</v>
      </c>
      <c r="H40" s="58">
        <f>'SC-NR'!B80</f>
        <v>663.83775968690907</v>
      </c>
      <c r="I40" t="str">
        <f>'SC-NR'!C80</f>
        <v>Single Family</v>
      </c>
      <c r="J40" s="7" t="str">
        <f>'SC-NR'!D80</f>
        <v>Single Family Tier2_buffered</v>
      </c>
      <c r="K40" s="41">
        <f ca="1">'SC-NR'!E80</f>
        <v>1.2460189066028362E-2</v>
      </c>
      <c r="L40" s="41">
        <f ca="1">'SC-NR'!F80</f>
        <v>3.1973679259154154E-2</v>
      </c>
      <c r="M40" s="41">
        <f ca="1">'SC-NR'!G80</f>
        <v>7.0895892903136554E-2</v>
      </c>
      <c r="N40" s="41">
        <f ca="1">'SC-NR'!H80</f>
        <v>0.13882087663514428</v>
      </c>
      <c r="O40" s="41">
        <f ca="1">'SC-NR'!I80</f>
        <v>0.24417665614468453</v>
      </c>
      <c r="P40" s="41">
        <f ca="1">'SC-NR'!J80</f>
        <v>0.39122566220484351</v>
      </c>
      <c r="Q40" s="41">
        <f ca="1">'SC-NR'!K80</f>
        <v>0.57776965944884739</v>
      </c>
      <c r="R40" s="41">
        <f ca="1">'SC-NR'!L80</f>
        <v>0.79463223265085858</v>
      </c>
      <c r="S40" s="41">
        <f ca="1">'SC-NR'!M80</f>
        <v>1.0272514805094133</v>
      </c>
      <c r="T40" s="41">
        <f ca="1">'SC-NR'!N80</f>
        <v>1.2588101760114518</v>
      </c>
      <c r="U40" s="41">
        <f ca="1">'SC-NR'!O80</f>
        <v>1.4737545867107942</v>
      </c>
      <c r="V40" s="41">
        <f ca="1">'SC-NR'!P80</f>
        <v>1.6605527841022962</v>
      </c>
      <c r="W40" s="41">
        <f ca="1">'SC-NR'!Q80</f>
        <v>1.8130162627020754</v>
      </c>
      <c r="X40" s="41">
        <f ca="1">'SC-NR'!R80</f>
        <v>2.3138279213549748</v>
      </c>
      <c r="Y40" s="41">
        <f ca="1">'SC-NR'!S80</f>
        <v>2.3961846833461697</v>
      </c>
      <c r="Z40" s="41">
        <f ca="1">'SC-NR'!T80</f>
        <v>2.4398732487696124</v>
      </c>
      <c r="AA40" s="41">
        <f ca="1">'SC-NR'!U80</f>
        <v>2.4626073849805206</v>
      </c>
      <c r="AB40" s="41">
        <f ca="1">'SC-NR'!V80</f>
        <v>2.4649094196905117</v>
      </c>
      <c r="AC40" s="41">
        <f ca="1">'SC-NR'!W80</f>
        <v>2.4438457044327975</v>
      </c>
      <c r="AD40" s="41">
        <f ca="1">'SC-NR'!X80</f>
        <v>2.4177622520181785</v>
      </c>
      <c r="AE40" s="41">
        <f ca="1">'SC-NR'!Y80</f>
        <v>30.557569629096591</v>
      </c>
      <c r="AF40" s="199">
        <f t="shared" si="2"/>
        <v>10.149876208402597</v>
      </c>
      <c r="AG40" s="199">
        <f t="shared" si="3"/>
        <v>8.9730530662691841</v>
      </c>
      <c r="AH40" s="199">
        <f t="shared" si="4"/>
        <v>10.939346678109818</v>
      </c>
      <c r="AI40" s="199">
        <f t="shared" si="5"/>
        <v>11.358555273184523</v>
      </c>
      <c r="AJ40" s="199">
        <f t="shared" si="6"/>
        <v>12.999662076586489</v>
      </c>
      <c r="AK40" s="199">
        <f t="shared" si="7"/>
        <v>14.580807939067002</v>
      </c>
      <c r="AL40" s="199">
        <f t="shared" si="8"/>
        <v>12.245922342862244</v>
      </c>
      <c r="AM40" s="199">
        <f t="shared" si="9"/>
        <v>13.079266144361652</v>
      </c>
      <c r="AN40" s="199">
        <f t="shared" si="10"/>
        <v>11.676777840264311</v>
      </c>
      <c r="AO40" s="199">
        <f t="shared" si="11"/>
        <v>12.655222505177912</v>
      </c>
      <c r="AP40" s="199">
        <f t="shared" si="12"/>
        <v>11.758613934831045</v>
      </c>
      <c r="AQ40" s="199">
        <f t="shared" si="13"/>
        <v>10.501542185928354</v>
      </c>
      <c r="AR40" s="199"/>
      <c r="AS40" s="199">
        <f t="shared" si="14"/>
        <v>4.5527600354564619</v>
      </c>
      <c r="AT40" s="199">
        <f t="shared" si="15"/>
        <v>3.757971407101738</v>
      </c>
      <c r="AU40" s="199">
        <f t="shared" si="16"/>
        <v>3.9766325891649101</v>
      </c>
      <c r="AV40" s="199">
        <f t="shared" si="17"/>
        <v>5.1118635292260377</v>
      </c>
      <c r="AW40" s="199">
        <f t="shared" si="18"/>
        <v>6.3852667796915084</v>
      </c>
      <c r="AX40" s="199">
        <f t="shared" si="19"/>
        <v>5.8205819804113093</v>
      </c>
      <c r="AY40" s="199">
        <f t="shared" si="20"/>
        <v>6.530050664295322</v>
      </c>
      <c r="AZ40" s="199">
        <f t="shared" si="21"/>
        <v>4.8838772046635963</v>
      </c>
      <c r="BA40" s="199">
        <f t="shared" si="22"/>
        <v>6.1707110230370699</v>
      </c>
      <c r="BB40" s="199">
        <f t="shared" si="23"/>
        <v>5.072731167466987</v>
      </c>
      <c r="BC40" s="199">
        <f t="shared" si="24"/>
        <v>6.1833441880137014</v>
      </c>
      <c r="BD40" s="199">
        <f t="shared" si="25"/>
        <v>4.5536158044927753</v>
      </c>
    </row>
    <row r="41" spans="1:56" ht="15">
      <c r="A41" s="56" t="str">
        <f>VLOOKUP(CONCATENATE($C41," - ",$B41),[2]ACHIEV!$B$12:$C$100,2,FALSE)</f>
        <v>LO3Slow</v>
      </c>
      <c r="B41" s="56" t="str">
        <f>'SC-NR'!$C$7</f>
        <v>NR</v>
      </c>
      <c r="C41" s="56" t="str">
        <f>'SC-NR'!$C$8</f>
        <v>HPWH</v>
      </c>
      <c r="D41" s="56" t="s">
        <v>546</v>
      </c>
      <c r="E41" s="56" t="str">
        <f>'SC-NR'!$A$9</f>
        <v>Water Heating</v>
      </c>
      <c r="F41" s="198">
        <f t="shared" si="1"/>
        <v>1.988306430462353E-2</v>
      </c>
      <c r="G41" s="58">
        <f>'SC-NR'!A81</f>
        <v>87.931784673528639</v>
      </c>
      <c r="H41" s="58">
        <f>'SC-NR'!B81</f>
        <v>1607.3377066669348</v>
      </c>
      <c r="I41" t="str">
        <f>'SC-NR'!C81</f>
        <v>Manufactured</v>
      </c>
      <c r="J41" s="7" t="str">
        <f>'SC-NR'!D81</f>
        <v>Manufactured Tier2_indor2_gfac</v>
      </c>
      <c r="K41" s="41">
        <f ca="1">'SC-NR'!E81</f>
        <v>4.1500966009854613E-5</v>
      </c>
      <c r="L41" s="41">
        <f ca="1">'SC-NR'!F81</f>
        <v>1.0559593955916435E-4</v>
      </c>
      <c r="M41" s="41">
        <f ca="1">'SC-NR'!G81</f>
        <v>2.3216498078345842E-4</v>
      </c>
      <c r="N41" s="41">
        <f ca="1">'SC-NR'!H81</f>
        <v>4.5076630971461568E-4</v>
      </c>
      <c r="O41" s="41">
        <f ca="1">'SC-NR'!I81</f>
        <v>7.8617972576893347E-4</v>
      </c>
      <c r="P41" s="41">
        <f ca="1">'SC-NR'!J81</f>
        <v>1.2490104249989072E-3</v>
      </c>
      <c r="Q41" s="41">
        <f ca="1">'SC-NR'!K81</f>
        <v>1.8290033120182277E-3</v>
      </c>
      <c r="R41" s="41">
        <f ca="1">'SC-NR'!L81</f>
        <v>2.4942901313144495E-3</v>
      </c>
      <c r="S41" s="41">
        <f ca="1">'SC-NR'!M81</f>
        <v>3.1972647382927794E-3</v>
      </c>
      <c r="T41" s="41">
        <f ca="1">'SC-NR'!N81</f>
        <v>3.8849291079673868E-3</v>
      </c>
      <c r="U41" s="41">
        <f ca="1">'SC-NR'!O81</f>
        <v>4.5099222416987916E-3</v>
      </c>
      <c r="V41" s="41">
        <f ca="1">'SC-NR'!P81</f>
        <v>5.0386895446722126E-3</v>
      </c>
      <c r="W41" s="41">
        <f ca="1">'SC-NR'!Q81</f>
        <v>5.4549107097863134E-3</v>
      </c>
      <c r="X41" s="41">
        <f ca="1">'SC-NR'!R81</f>
        <v>6.0384069782218452E-3</v>
      </c>
      <c r="Y41" s="41">
        <f ca="1">'SC-NR'!S81</f>
        <v>6.2533359722157953E-3</v>
      </c>
      <c r="Z41" s="41">
        <f ca="1">'SC-NR'!T81</f>
        <v>6.3876640118640891E-3</v>
      </c>
      <c r="AA41" s="41">
        <f ca="1">'SC-NR'!U81</f>
        <v>6.4526999095312117E-3</v>
      </c>
      <c r="AB41" s="41">
        <f ca="1">'SC-NR'!V81</f>
        <v>6.444543855726354E-3</v>
      </c>
      <c r="AC41" s="41">
        <f ca="1">'SC-NR'!W81</f>
        <v>6.4045802221731653E-3</v>
      </c>
      <c r="AD41" s="41">
        <f ca="1">'SC-NR'!X81</f>
        <v>6.3452557899878626E-3</v>
      </c>
      <c r="AE41" s="41">
        <f ca="1">'SC-NR'!Y81</f>
        <v>8.1649337638457983E-2</v>
      </c>
      <c r="AF41" s="199">
        <f t="shared" si="2"/>
        <v>4.4621170025817971</v>
      </c>
      <c r="AG41" s="199">
        <f t="shared" si="3"/>
        <v>3.9907241749174851</v>
      </c>
      <c r="AH41" s="199">
        <f t="shared" si="4"/>
        <v>4.9331803476805884</v>
      </c>
      <c r="AI41" s="199">
        <f t="shared" si="5"/>
        <v>5.1317317668862552</v>
      </c>
      <c r="AJ41" s="199">
        <f t="shared" si="6"/>
        <v>5.8494593362591569</v>
      </c>
      <c r="AK41" s="199">
        <f t="shared" si="7"/>
        <v>6.6138730218939665</v>
      </c>
      <c r="AL41" s="199">
        <f t="shared" si="8"/>
        <v>4.3320399221810888</v>
      </c>
      <c r="AM41" s="199">
        <f t="shared" si="9"/>
        <v>4.7183618942942491</v>
      </c>
      <c r="AN41" s="199">
        <f t="shared" si="10"/>
        <v>4.8718747688198523</v>
      </c>
      <c r="AO41" s="199">
        <f t="shared" si="11"/>
        <v>5.71219594383036</v>
      </c>
      <c r="AP41" s="199">
        <f t="shared" si="12"/>
        <v>5.3225672232719363</v>
      </c>
      <c r="AQ41" s="199">
        <f t="shared" si="13"/>
        <v>4.5778048168534164</v>
      </c>
      <c r="AR41" s="199"/>
      <c r="AS41" s="199">
        <f t="shared" si="14"/>
        <v>1.9458195138550061</v>
      </c>
      <c r="AT41" s="199">
        <f t="shared" si="15"/>
        <v>1.6205552925196796</v>
      </c>
      <c r="AU41" s="199">
        <f t="shared" si="16"/>
        <v>1.7550370151070496</v>
      </c>
      <c r="AV41" s="199">
        <f t="shared" si="17"/>
        <v>2.2927856557601851</v>
      </c>
      <c r="AW41" s="199">
        <f t="shared" si="18"/>
        <v>2.901995672882161</v>
      </c>
      <c r="AX41" s="199">
        <f t="shared" si="19"/>
        <v>2.6742904686821758</v>
      </c>
      <c r="AY41" s="199">
        <f t="shared" si="20"/>
        <v>2.6101601721770824</v>
      </c>
      <c r="AZ41" s="199">
        <f t="shared" si="21"/>
        <v>1.9818801233807122</v>
      </c>
      <c r="BA41" s="199">
        <f t="shared" si="22"/>
        <v>2.6627017597330278</v>
      </c>
      <c r="BB41" s="199">
        <f t="shared" si="23"/>
        <v>2.2841789599926092</v>
      </c>
      <c r="BC41" s="199">
        <f t="shared" si="24"/>
        <v>2.7743075044011234</v>
      </c>
      <c r="BD41" s="199">
        <f t="shared" si="25"/>
        <v>1.91214231556765</v>
      </c>
    </row>
    <row r="42" spans="1:56" ht="15">
      <c r="A42" s="56" t="str">
        <f>VLOOKUP(CONCATENATE($C42," - ",$B42),[2]ACHIEV!$B$12:$C$100,2,FALSE)</f>
        <v>LO3Slow</v>
      </c>
      <c r="B42" s="56" t="str">
        <f>'SC-NR'!$C$7</f>
        <v>NR</v>
      </c>
      <c r="C42" s="56" t="str">
        <f>'SC-NR'!$C$8</f>
        <v>HPWH</v>
      </c>
      <c r="D42" s="56" t="s">
        <v>546</v>
      </c>
      <c r="E42" s="56" t="str">
        <f>'SC-NR'!$A$9</f>
        <v>Water Heating</v>
      </c>
      <c r="F42" s="198">
        <f t="shared" si="1"/>
        <v>1.9634090668074949E-2</v>
      </c>
      <c r="G42" s="58">
        <f>'SC-NR'!A82</f>
        <v>86.718840456148499</v>
      </c>
      <c r="H42" s="58">
        <f>'SC-NR'!B82</f>
        <v>1630.5015291600657</v>
      </c>
      <c r="I42" t="str">
        <f>'SC-NR'!C82</f>
        <v>Single Family</v>
      </c>
      <c r="J42" s="7" t="str">
        <f>'SC-NR'!D82</f>
        <v>Single Family Tier2_indor2_gfac</v>
      </c>
      <c r="K42" s="41">
        <f ca="1">'SC-NR'!E82</f>
        <v>6.098492294760795E-4</v>
      </c>
      <c r="L42" s="41">
        <f ca="1">'SC-NR'!F82</f>
        <v>1.564913947644114E-3</v>
      </c>
      <c r="M42" s="41">
        <f ca="1">'SC-NR'!G82</f>
        <v>3.469915699583982E-3</v>
      </c>
      <c r="N42" s="41">
        <f ca="1">'SC-NR'!H82</f>
        <v>6.7944237605474488E-3</v>
      </c>
      <c r="O42" s="41">
        <f ca="1">'SC-NR'!I82</f>
        <v>1.1950937888404472E-2</v>
      </c>
      <c r="P42" s="41">
        <f ca="1">'SC-NR'!J82</f>
        <v>1.9148077720376196E-2</v>
      </c>
      <c r="Q42" s="41">
        <f ca="1">'SC-NR'!K82</f>
        <v>2.8278253224118005E-2</v>
      </c>
      <c r="R42" s="41">
        <f ca="1">'SC-NR'!L82</f>
        <v>3.8892335600285481E-2</v>
      </c>
      <c r="S42" s="41">
        <f ca="1">'SC-NR'!M82</f>
        <v>5.0277609797658725E-2</v>
      </c>
      <c r="T42" s="41">
        <f ca="1">'SC-NR'!N82</f>
        <v>6.1610976513210187E-2</v>
      </c>
      <c r="U42" s="41">
        <f ca="1">'SC-NR'!O82</f>
        <v>7.21311766924011E-2</v>
      </c>
      <c r="V42" s="41">
        <f ca="1">'SC-NR'!P82</f>
        <v>8.1273793721970716E-2</v>
      </c>
      <c r="W42" s="41">
        <f ca="1">'SC-NR'!Q82</f>
        <v>8.8735938514044474E-2</v>
      </c>
      <c r="X42" s="41">
        <f ca="1">'SC-NR'!R82</f>
        <v>0.1132475733314333</v>
      </c>
      <c r="Y42" s="41">
        <f ca="1">'SC-NR'!S82</f>
        <v>0.11727842772508046</v>
      </c>
      <c r="Z42" s="41">
        <f ca="1">'SC-NR'!T82</f>
        <v>0.11941671293240871</v>
      </c>
      <c r="AA42" s="41">
        <f ca="1">'SC-NR'!U82</f>
        <v>0.12052940836403959</v>
      </c>
      <c r="AB42" s="41">
        <f ca="1">'SC-NR'!V82</f>
        <v>0.120642078732577</v>
      </c>
      <c r="AC42" s="41">
        <f ca="1">'SC-NR'!W82</f>
        <v>0.11961114008054295</v>
      </c>
      <c r="AD42" s="41">
        <f ca="1">'SC-NR'!X82</f>
        <v>0.11833451632525017</v>
      </c>
      <c r="AE42" s="41">
        <f ca="1">'SC-NR'!Y82</f>
        <v>1.4956041352353415</v>
      </c>
      <c r="AF42" s="199">
        <f t="shared" si="2"/>
        <v>4.40652966169728</v>
      </c>
      <c r="AG42" s="199">
        <f t="shared" si="3"/>
        <v>3.9418928952139884</v>
      </c>
      <c r="AH42" s="199">
        <f t="shared" si="4"/>
        <v>4.8741083159519221</v>
      </c>
      <c r="AI42" s="199">
        <f t="shared" si="5"/>
        <v>5.0698363499172565</v>
      </c>
      <c r="AJ42" s="199">
        <f t="shared" si="6"/>
        <v>5.7761167701386666</v>
      </c>
      <c r="AK42" s="199">
        <f t="shared" si="7"/>
        <v>6.5319379527542214</v>
      </c>
      <c r="AL42" s="199">
        <f t="shared" si="8"/>
        <v>4.2341868208024973</v>
      </c>
      <c r="AM42" s="199">
        <f t="shared" si="9"/>
        <v>4.6159928614939272</v>
      </c>
      <c r="AN42" s="199">
        <f t="shared" si="10"/>
        <v>4.7965837919560901</v>
      </c>
      <c r="AO42" s="199">
        <f t="shared" si="11"/>
        <v>5.6421886398170855</v>
      </c>
      <c r="AP42" s="199">
        <f t="shared" si="12"/>
        <v>5.2592060454350387</v>
      </c>
      <c r="AQ42" s="199">
        <f t="shared" si="13"/>
        <v>4.5200282348361904</v>
      </c>
      <c r="AR42" s="199"/>
      <c r="AS42" s="199">
        <f t="shared" si="14"/>
        <v>1.920508909109689</v>
      </c>
      <c r="AT42" s="199">
        <f t="shared" si="15"/>
        <v>1.5997608235075464</v>
      </c>
      <c r="AU42" s="199">
        <f t="shared" si="16"/>
        <v>1.7333045190706449</v>
      </c>
      <c r="AV42" s="199">
        <f t="shared" si="17"/>
        <v>2.264925158948274</v>
      </c>
      <c r="AW42" s="199">
        <f t="shared" si="18"/>
        <v>2.8667361324749812</v>
      </c>
      <c r="AX42" s="199">
        <f t="shared" si="19"/>
        <v>2.6424189964194382</v>
      </c>
      <c r="AY42" s="199">
        <f t="shared" si="20"/>
        <v>2.5650657678398647</v>
      </c>
      <c r="AZ42" s="199">
        <f t="shared" si="21"/>
        <v>1.948851762212976</v>
      </c>
      <c r="BA42" s="199">
        <f t="shared" si="22"/>
        <v>2.625020074505314</v>
      </c>
      <c r="BB42" s="199">
        <f t="shared" si="23"/>
        <v>2.2562211879938032</v>
      </c>
      <c r="BC42" s="199">
        <f t="shared" si="24"/>
        <v>2.7408221713586327</v>
      </c>
      <c r="BD42" s="199">
        <f t="shared" si="25"/>
        <v>1.8865966126931486</v>
      </c>
    </row>
    <row r="43" spans="1:56" ht="15">
      <c r="A43" s="56" t="str">
        <f>VLOOKUP(CONCATENATE($C43," - ",$B43),[2]ACHIEV!$B$12:$C$100,2,FALSE)</f>
        <v>LO3Slow</v>
      </c>
      <c r="B43" s="56" t="str">
        <f>'SC-NR'!$C$7</f>
        <v>NR</v>
      </c>
      <c r="C43" s="56" t="str">
        <f>'SC-NR'!$C$8</f>
        <v>HPWH</v>
      </c>
      <c r="D43" s="56" t="s">
        <v>546</v>
      </c>
      <c r="E43" s="56" t="str">
        <f>'SC-NR'!$A$9</f>
        <v>Water Heating</v>
      </c>
      <c r="F43" s="198">
        <f t="shared" si="1"/>
        <v>1.8631276675208853E-2</v>
      </c>
      <c r="G43" s="58">
        <f>'SC-NR'!A83</f>
        <v>87.018336528396802</v>
      </c>
      <c r="H43" s="58">
        <f>'SC-NR'!B83</f>
        <v>1624.0877492683064</v>
      </c>
      <c r="I43" t="str">
        <f>'SC-NR'!C83</f>
        <v>Manufactured</v>
      </c>
      <c r="J43" s="7" t="str">
        <f>'SC-NR'!D83</f>
        <v>Manufactured Tier2_indor2_gfnc</v>
      </c>
      <c r="K43" s="41">
        <f ca="1">'SC-NR'!E83</f>
        <v>3.0117888496542606E-4</v>
      </c>
      <c r="L43" s="41">
        <f ca="1">'SC-NR'!F83</f>
        <v>7.6632595312971273E-4</v>
      </c>
      <c r="M43" s="41">
        <f ca="1">'SC-NR'!G83</f>
        <v>1.6848569265539011E-3</v>
      </c>
      <c r="N43" s="41">
        <f ca="1">'SC-NR'!H83</f>
        <v>3.2712803482114277E-3</v>
      </c>
      <c r="O43" s="41">
        <f ca="1">'SC-NR'!I83</f>
        <v>5.7054270286934295E-3</v>
      </c>
      <c r="P43" s="41">
        <f ca="1">'SC-NR'!J83</f>
        <v>9.0642605047323247E-3</v>
      </c>
      <c r="Q43" s="41">
        <f ca="1">'SC-NR'!K83</f>
        <v>1.327335797390637E-2</v>
      </c>
      <c r="R43" s="41">
        <f ca="1">'SC-NR'!L83</f>
        <v>1.8101446610933561E-2</v>
      </c>
      <c r="S43" s="41">
        <f ca="1">'SC-NR'!M83</f>
        <v>2.3203041312089865E-2</v>
      </c>
      <c r="T43" s="41">
        <f ca="1">'SC-NR'!N83</f>
        <v>2.8193527269449788E-2</v>
      </c>
      <c r="U43" s="41">
        <f ca="1">'SC-NR'!O83</f>
        <v>3.2729198441141902E-2</v>
      </c>
      <c r="V43" s="41">
        <f ca="1">'SC-NR'!P83</f>
        <v>3.6566543978542046E-2</v>
      </c>
      <c r="W43" s="41">
        <f ca="1">'SC-NR'!Q83</f>
        <v>3.9587124906183796E-2</v>
      </c>
      <c r="X43" s="41">
        <f ca="1">'SC-NR'!R83</f>
        <v>4.3821646952421724E-2</v>
      </c>
      <c r="Y43" s="41">
        <f ca="1">'SC-NR'!S83</f>
        <v>4.5381419675361898E-2</v>
      </c>
      <c r="Z43" s="41">
        <f ca="1">'SC-NR'!T83</f>
        <v>4.635625889214684E-2</v>
      </c>
      <c r="AA43" s="41">
        <f ca="1">'SC-NR'!U83</f>
        <v>4.6828234391161919E-2</v>
      </c>
      <c r="AB43" s="41">
        <f ca="1">'SC-NR'!V83</f>
        <v>4.6769044655913784E-2</v>
      </c>
      <c r="AC43" s="41">
        <f ca="1">'SC-NR'!W83</f>
        <v>4.6479022428723767E-2</v>
      </c>
      <c r="AD43" s="41">
        <f ca="1">'SC-NR'!X83</f>
        <v>4.6048495912002815E-2</v>
      </c>
      <c r="AE43" s="41">
        <f ca="1">'SC-NR'!Y83</f>
        <v>0.59254178474489227</v>
      </c>
      <c r="AF43" s="199">
        <f t="shared" si="2"/>
        <v>4.1808473782624676</v>
      </c>
      <c r="AG43" s="199">
        <f t="shared" si="3"/>
        <v>3.7381029064364859</v>
      </c>
      <c r="AH43" s="199">
        <f t="shared" si="4"/>
        <v>4.6193419217376945</v>
      </c>
      <c r="AI43" s="199">
        <f t="shared" si="5"/>
        <v>4.8389187556601723</v>
      </c>
      <c r="AJ43" s="199">
        <f t="shared" si="6"/>
        <v>5.6436170482481698</v>
      </c>
      <c r="AK43" s="199">
        <f t="shared" si="7"/>
        <v>6.380062922280918</v>
      </c>
      <c r="AL43" s="199">
        <f t="shared" si="8"/>
        <v>5.3682893702953978</v>
      </c>
      <c r="AM43" s="199">
        <f t="shared" si="9"/>
        <v>5.7345236442262362</v>
      </c>
      <c r="AN43" s="199">
        <f t="shared" si="10"/>
        <v>5.0904242602258645</v>
      </c>
      <c r="AO43" s="199">
        <f t="shared" si="11"/>
        <v>5.4412300512594483</v>
      </c>
      <c r="AP43" s="199">
        <f t="shared" si="12"/>
        <v>4.9835062418766762</v>
      </c>
      <c r="AQ43" s="199">
        <f t="shared" si="13"/>
        <v>4.2901451577621321</v>
      </c>
      <c r="AR43" s="199"/>
      <c r="AS43" s="199">
        <f t="shared" si="14"/>
        <v>1.8244558591426354</v>
      </c>
      <c r="AT43" s="199">
        <f t="shared" si="15"/>
        <v>1.5191348196145082</v>
      </c>
      <c r="AU43" s="199">
        <f t="shared" si="16"/>
        <v>1.6442501057438708</v>
      </c>
      <c r="AV43" s="199">
        <f t="shared" si="17"/>
        <v>2.1565641388321395</v>
      </c>
      <c r="AW43" s="199">
        <f t="shared" si="18"/>
        <v>2.7674411037942686</v>
      </c>
      <c r="AX43" s="199">
        <f t="shared" si="19"/>
        <v>2.5451184476054163</v>
      </c>
      <c r="AY43" s="199">
        <f t="shared" si="20"/>
        <v>2.8624954935223559</v>
      </c>
      <c r="AZ43" s="199">
        <f t="shared" si="21"/>
        <v>2.1410623480508408</v>
      </c>
      <c r="BA43" s="199">
        <f t="shared" si="22"/>
        <v>2.6886106034157007</v>
      </c>
      <c r="BB43" s="199">
        <f t="shared" si="23"/>
        <v>2.1683716548970273</v>
      </c>
      <c r="BC43" s="199">
        <f t="shared" si="24"/>
        <v>2.5981311223950496</v>
      </c>
      <c r="BD43" s="199">
        <f t="shared" si="25"/>
        <v>1.7936911731113003</v>
      </c>
    </row>
    <row r="44" spans="1:56" ht="15">
      <c r="A44" s="56" t="str">
        <f>VLOOKUP(CONCATENATE($C44," - ",$B44),[2]ACHIEV!$B$12:$C$100,2,FALSE)</f>
        <v>LO3Slow</v>
      </c>
      <c r="B44" s="56" t="str">
        <f>'SC-NR'!$C$7</f>
        <v>NR</v>
      </c>
      <c r="C44" s="56" t="str">
        <f>'SC-NR'!$C$8</f>
        <v>HPWH</v>
      </c>
      <c r="D44" s="56" t="s">
        <v>546</v>
      </c>
      <c r="E44" s="56" t="str">
        <f>'SC-NR'!$A$9</f>
        <v>Water Heating</v>
      </c>
      <c r="F44" s="198">
        <f t="shared" si="1"/>
        <v>1.8500463749028924E-2</v>
      </c>
      <c r="G44" s="58">
        <f>'SC-NR'!A84</f>
        <v>86.442796713311679</v>
      </c>
      <c r="H44" s="58">
        <f>'SC-NR'!B84</f>
        <v>1635.6197766937105</v>
      </c>
      <c r="I44" t="str">
        <f>'SC-NR'!C84</f>
        <v>Single Family</v>
      </c>
      <c r="J44" s="7" t="str">
        <f>'SC-NR'!D84</f>
        <v>Single Family Tier2_indor2_gfnc</v>
      </c>
      <c r="K44" s="41">
        <f ca="1">'SC-NR'!E84</f>
        <v>9.9184982146069954E-4</v>
      </c>
      <c r="L44" s="41">
        <f ca="1">'SC-NR'!F84</f>
        <v>2.5451530387365262E-3</v>
      </c>
      <c r="M44" s="41">
        <f ca="1">'SC-NR'!G84</f>
        <v>5.6434198827679969E-3</v>
      </c>
      <c r="N44" s="41">
        <f ca="1">'SC-NR'!H84</f>
        <v>1.1050350919713103E-2</v>
      </c>
      <c r="O44" s="41">
        <f ca="1">'SC-NR'!I84</f>
        <v>1.943682969163581E-2</v>
      </c>
      <c r="P44" s="41">
        <f ca="1">'SC-NR'!J84</f>
        <v>3.1142152109607059E-2</v>
      </c>
      <c r="Q44" s="41">
        <f ca="1">'SC-NR'!K84</f>
        <v>4.5991335326696567E-2</v>
      </c>
      <c r="R44" s="41">
        <f ca="1">'SC-NR'!L84</f>
        <v>6.325392286626777E-2</v>
      </c>
      <c r="S44" s="41">
        <f ca="1">'SC-NR'!M84</f>
        <v>8.1770765446600446E-2</v>
      </c>
      <c r="T44" s="41">
        <f ca="1">'SC-NR'!N84</f>
        <v>0.10020318646158718</v>
      </c>
      <c r="U44" s="41">
        <f ca="1">'SC-NR'!O84</f>
        <v>0.11731308537615261</v>
      </c>
      <c r="V44" s="41">
        <f ca="1">'SC-NR'!P84</f>
        <v>0.13218250330794629</v>
      </c>
      <c r="W44" s="41">
        <f ca="1">'SC-NR'!Q84</f>
        <v>0.14431882589720446</v>
      </c>
      <c r="X44" s="41">
        <f ca="1">'SC-NR'!R84</f>
        <v>0.18418418842004189</v>
      </c>
      <c r="Y44" s="41">
        <f ca="1">'SC-NR'!S84</f>
        <v>0.19073991074850608</v>
      </c>
      <c r="Z44" s="41">
        <f ca="1">'SC-NR'!T84</f>
        <v>0.19421758637489428</v>
      </c>
      <c r="AA44" s="41">
        <f ca="1">'SC-NR'!U84</f>
        <v>0.19602725786722586</v>
      </c>
      <c r="AB44" s="41">
        <f ca="1">'SC-NR'!V84</f>
        <v>0.19621050329825432</v>
      </c>
      <c r="AC44" s="41">
        <f ca="1">'SC-NR'!W84</f>
        <v>0.19453379983035726</v>
      </c>
      <c r="AD44" s="41">
        <f ca="1">'SC-NR'!X84</f>
        <v>0.19245751772232303</v>
      </c>
      <c r="AE44" s="41">
        <f ca="1">'SC-NR'!Y84</f>
        <v>2.4324285787545494</v>
      </c>
      <c r="AF44" s="199">
        <f t="shared" si="2"/>
        <v>4.1516391288572629</v>
      </c>
      <c r="AG44" s="199">
        <f t="shared" si="3"/>
        <v>3.7124378816716614</v>
      </c>
      <c r="AH44" s="199">
        <f t="shared" si="4"/>
        <v>4.5882844856826575</v>
      </c>
      <c r="AI44" s="199">
        <f t="shared" si="5"/>
        <v>4.8068299232196363</v>
      </c>
      <c r="AJ44" s="199">
        <f t="shared" si="6"/>
        <v>5.6072857472458155</v>
      </c>
      <c r="AK44" s="199">
        <f t="shared" si="7"/>
        <v>6.3394992276689912</v>
      </c>
      <c r="AL44" s="199">
        <f t="shared" si="8"/>
        <v>5.3342582145942945</v>
      </c>
      <c r="AM44" s="199">
        <f t="shared" si="9"/>
        <v>5.6981800696064164</v>
      </c>
      <c r="AN44" s="199">
        <f t="shared" si="10"/>
        <v>5.0578689218721955</v>
      </c>
      <c r="AO44" s="199">
        <f t="shared" si="11"/>
        <v>5.4056642191415216</v>
      </c>
      <c r="AP44" s="199">
        <f t="shared" si="12"/>
        <v>4.95019080312355</v>
      </c>
      <c r="AQ44" s="199">
        <f t="shared" si="13"/>
        <v>4.2597922763995353</v>
      </c>
      <c r="AR44" s="199"/>
      <c r="AS44" s="199">
        <f t="shared" si="14"/>
        <v>1.811164611929301</v>
      </c>
      <c r="AT44" s="199">
        <f t="shared" si="15"/>
        <v>1.508213029680243</v>
      </c>
      <c r="AU44" s="199">
        <f t="shared" si="16"/>
        <v>1.6328298133318722</v>
      </c>
      <c r="AV44" s="199">
        <f t="shared" si="17"/>
        <v>2.1420437473375995</v>
      </c>
      <c r="AW44" s="199">
        <f t="shared" si="18"/>
        <v>2.7495783605971491</v>
      </c>
      <c r="AX44" s="199">
        <f t="shared" si="19"/>
        <v>2.5289190338701562</v>
      </c>
      <c r="AY44" s="199">
        <f t="shared" si="20"/>
        <v>2.8443482250319554</v>
      </c>
      <c r="AZ44" s="199">
        <f t="shared" si="21"/>
        <v>2.1274905284165162</v>
      </c>
      <c r="BA44" s="199">
        <f t="shared" si="22"/>
        <v>2.671400902434514</v>
      </c>
      <c r="BB44" s="199">
        <f t="shared" si="23"/>
        <v>2.1540680519833866</v>
      </c>
      <c r="BC44" s="199">
        <f t="shared" si="24"/>
        <v>2.5805281272038858</v>
      </c>
      <c r="BD44" s="199">
        <f t="shared" si="25"/>
        <v>1.7802813824115473</v>
      </c>
    </row>
    <row r="45" spans="1:56" ht="15">
      <c r="A45" s="56" t="str">
        <f>VLOOKUP(CONCATENATE($C45," - ",$B45),[2]ACHIEV!$B$12:$C$100,2,FALSE)</f>
        <v>LO3Slow</v>
      </c>
      <c r="B45" s="56" t="str">
        <f>'SC-NR'!$C$7</f>
        <v>NR</v>
      </c>
      <c r="C45" s="56" t="str">
        <f>'SC-NR'!$C$8</f>
        <v>HPWH</v>
      </c>
      <c r="D45" s="56" t="s">
        <v>546</v>
      </c>
      <c r="E45" s="56" t="str">
        <f>'SC-NR'!$A$9</f>
        <v>Water Heating</v>
      </c>
      <c r="F45" s="198">
        <f t="shared" si="1"/>
        <v>2.1282420994286143E-2</v>
      </c>
      <c r="G45" s="58">
        <f>'SC-NR'!A85</f>
        <v>50.096541596068619</v>
      </c>
      <c r="H45" s="58">
        <f>'SC-NR'!B85</f>
        <v>2752.9917395427819</v>
      </c>
      <c r="I45" t="str">
        <f>'SC-NR'!C85</f>
        <v>Manufactured</v>
      </c>
      <c r="J45" s="7" t="str">
        <f>'SC-NR'!D85</f>
        <v>Manufactured Tier2_indor2_hp85</v>
      </c>
      <c r="K45" s="41">
        <f ca="1">'SC-NR'!E85</f>
        <v>1.0819806688957889E-4</v>
      </c>
      <c r="L45" s="41">
        <f ca="1">'SC-NR'!F85</f>
        <v>2.7530145994619516E-4</v>
      </c>
      <c r="M45" s="41">
        <f ca="1">'SC-NR'!G85</f>
        <v>6.0528234726540107E-4</v>
      </c>
      <c r="N45" s="41">
        <f ca="1">'SC-NR'!H85</f>
        <v>1.1752026041632248E-3</v>
      </c>
      <c r="O45" s="41">
        <f ca="1">'SC-NR'!I85</f>
        <v>2.0496661821264388E-3</v>
      </c>
      <c r="P45" s="41">
        <f ca="1">'SC-NR'!J85</f>
        <v>3.2563221173628415E-3</v>
      </c>
      <c r="Q45" s="41">
        <f ca="1">'SC-NR'!K85</f>
        <v>4.768434128690365E-3</v>
      </c>
      <c r="R45" s="41">
        <f ca="1">'SC-NR'!L85</f>
        <v>6.5029177972843683E-3</v>
      </c>
      <c r="S45" s="41">
        <f ca="1">'SC-NR'!M85</f>
        <v>8.3356581130027019E-3</v>
      </c>
      <c r="T45" s="41">
        <f ca="1">'SC-NR'!N85</f>
        <v>1.0128482777613298E-2</v>
      </c>
      <c r="U45" s="41">
        <f ca="1">'SC-NR'!O85</f>
        <v>1.1757915906300967E-2</v>
      </c>
      <c r="V45" s="41">
        <f ca="1">'SC-NR'!P85</f>
        <v>1.3136476588540393E-2</v>
      </c>
      <c r="W45" s="41">
        <f ca="1">'SC-NR'!Q85</f>
        <v>1.4221615798388675E-2</v>
      </c>
      <c r="X45" s="41">
        <f ca="1">'SC-NR'!R85</f>
        <v>1.5742861551246958E-2</v>
      </c>
      <c r="Y45" s="41">
        <f ca="1">'SC-NR'!S85</f>
        <v>1.6303207584231958E-2</v>
      </c>
      <c r="Z45" s="41">
        <f ca="1">'SC-NR'!T85</f>
        <v>1.6653417124307745E-2</v>
      </c>
      <c r="AA45" s="41">
        <f ca="1">'SC-NR'!U85</f>
        <v>1.682297362100086E-2</v>
      </c>
      <c r="AB45" s="41">
        <f ca="1">'SC-NR'!V85</f>
        <v>1.6801709796565461E-2</v>
      </c>
      <c r="AC45" s="41">
        <f ca="1">'SC-NR'!W85</f>
        <v>1.6697519742403556E-2</v>
      </c>
      <c r="AD45" s="41">
        <f ca="1">'SC-NR'!X85</f>
        <v>1.6542853731008837E-2</v>
      </c>
      <c r="AE45" s="41">
        <f ca="1">'SC-NR'!Y85</f>
        <v>0.21286975568708294</v>
      </c>
      <c r="AF45" s="199">
        <f t="shared" si="2"/>
        <v>4.7602410155417694</v>
      </c>
      <c r="AG45" s="199">
        <f t="shared" si="3"/>
        <v>4.2083169111409191</v>
      </c>
      <c r="AH45" s="199">
        <f t="shared" si="4"/>
        <v>5.1304989062639592</v>
      </c>
      <c r="AI45" s="199">
        <f t="shared" si="5"/>
        <v>4.9910125892277959</v>
      </c>
      <c r="AJ45" s="199">
        <f t="shared" si="6"/>
        <v>4.4496607033250806</v>
      </c>
      <c r="AK45" s="199">
        <f t="shared" si="7"/>
        <v>4.9746595560278779</v>
      </c>
      <c r="AL45" s="199">
        <f t="shared" si="8"/>
        <v>-7.0065244096157615</v>
      </c>
      <c r="AM45" s="199">
        <f t="shared" si="9"/>
        <v>-6.6625949310919781</v>
      </c>
      <c r="AN45" s="199">
        <f t="shared" si="10"/>
        <v>0.32076401084930728</v>
      </c>
      <c r="AO45" s="199">
        <f t="shared" si="11"/>
        <v>5.0169062453719624</v>
      </c>
      <c r="AP45" s="199">
        <f t="shared" si="12"/>
        <v>5.5147311955653322</v>
      </c>
      <c r="AQ45" s="199">
        <f t="shared" si="13"/>
        <v>4.9251705427770824</v>
      </c>
      <c r="AR45" s="199"/>
      <c r="AS45" s="199">
        <f t="shared" si="14"/>
        <v>2.1352214275530983</v>
      </c>
      <c r="AT45" s="199">
        <f t="shared" si="15"/>
        <v>1.7624696093034162</v>
      </c>
      <c r="AU45" s="199">
        <f t="shared" si="16"/>
        <v>1.8650206850861342</v>
      </c>
      <c r="AV45" s="199">
        <f t="shared" si="17"/>
        <v>2.3045711533643423</v>
      </c>
      <c r="AW45" s="199">
        <f t="shared" si="18"/>
        <v>2.4928452888049373</v>
      </c>
      <c r="AX45" s="199">
        <f t="shared" si="19"/>
        <v>2.3122976348807507</v>
      </c>
      <c r="AY45" s="199">
        <f t="shared" si="20"/>
        <v>-1.0138474298618545</v>
      </c>
      <c r="AZ45" s="199">
        <f t="shared" si="21"/>
        <v>-0.4905671494556022</v>
      </c>
      <c r="BA45" s="199">
        <f t="shared" si="22"/>
        <v>0.98304481397403765</v>
      </c>
      <c r="BB45" s="199">
        <f t="shared" si="23"/>
        <v>2.0870630175189944</v>
      </c>
      <c r="BC45" s="199">
        <f t="shared" si="24"/>
        <v>2.8999574588766772</v>
      </c>
      <c r="BD45" s="199">
        <f t="shared" si="25"/>
        <v>2.1356227506403225</v>
      </c>
    </row>
    <row r="46" spans="1:56" ht="15">
      <c r="A46" s="56" t="str">
        <f>VLOOKUP(CONCATENATE($C46," - ",$B46),[2]ACHIEV!$B$12:$C$100,2,FALSE)</f>
        <v>LO3Slow</v>
      </c>
      <c r="B46" s="56" t="str">
        <f>'SC-NR'!$C$7</f>
        <v>NR</v>
      </c>
      <c r="C46" s="56" t="str">
        <f>'SC-NR'!$C$8</f>
        <v>HPWH</v>
      </c>
      <c r="D46" s="56" t="s">
        <v>546</v>
      </c>
      <c r="E46" s="56" t="str">
        <f>'SC-NR'!$A$9</f>
        <v>Water Heating</v>
      </c>
      <c r="F46" s="198">
        <f t="shared" si="1"/>
        <v>2.104178715284186E-2</v>
      </c>
      <c r="G46" s="58">
        <f>'SC-NR'!A86</f>
        <v>50.040314629419214</v>
      </c>
      <c r="H46" s="58">
        <f>'SC-NR'!B86</f>
        <v>2755.8310346940802</v>
      </c>
      <c r="I46" t="str">
        <f>'SC-NR'!C86</f>
        <v>Single Family</v>
      </c>
      <c r="J46" s="7" t="str">
        <f>'SC-NR'!D86</f>
        <v>Single Family Tier2_indor2_hp85</v>
      </c>
      <c r="K46" s="41">
        <f ca="1">'SC-NR'!E86</f>
        <v>2.3625884070569003E-4</v>
      </c>
      <c r="L46" s="41">
        <f ca="1">'SC-NR'!F86</f>
        <v>6.0625600099912104E-4</v>
      </c>
      <c r="M46" s="41">
        <f ca="1">'SC-NR'!G86</f>
        <v>1.3442638293311813E-3</v>
      </c>
      <c r="N46" s="41">
        <f ca="1">'SC-NR'!H86</f>
        <v>2.6321959647455763E-3</v>
      </c>
      <c r="O46" s="41">
        <f ca="1">'SC-NR'!I86</f>
        <v>4.629857011192463E-3</v>
      </c>
      <c r="P46" s="41">
        <f ca="1">'SC-NR'!J86</f>
        <v>7.4180673276327824E-3</v>
      </c>
      <c r="Q46" s="41">
        <f ca="1">'SC-NR'!K86</f>
        <v>1.0955145962308892E-2</v>
      </c>
      <c r="R46" s="41">
        <f ca="1">'SC-NR'!L86</f>
        <v>1.5067098025448108E-2</v>
      </c>
      <c r="S46" s="41">
        <f ca="1">'SC-NR'!M86</f>
        <v>1.9477813908943889E-2</v>
      </c>
      <c r="T46" s="41">
        <f ca="1">'SC-NR'!N86</f>
        <v>2.3868420557424812E-2</v>
      </c>
      <c r="U46" s="41">
        <f ca="1">'SC-NR'!O86</f>
        <v>2.794400215726173E-2</v>
      </c>
      <c r="V46" s="41">
        <f ca="1">'SC-NR'!P86</f>
        <v>3.1485900705330555E-2</v>
      </c>
      <c r="W46" s="41">
        <f ca="1">'SC-NR'!Q86</f>
        <v>3.4376775355230399E-2</v>
      </c>
      <c r="X46" s="41">
        <f ca="1">'SC-NR'!R86</f>
        <v>4.3872713278662122E-2</v>
      </c>
      <c r="Y46" s="41">
        <f ca="1">'SC-NR'!S86</f>
        <v>4.5434287746690317E-2</v>
      </c>
      <c r="Z46" s="41">
        <f ca="1">'SC-NR'!T86</f>
        <v>4.6262670828547306E-2</v>
      </c>
      <c r="AA46" s="41">
        <f ca="1">'SC-NR'!U86</f>
        <v>4.6693734967074574E-2</v>
      </c>
      <c r="AB46" s="41">
        <f ca="1">'SC-NR'!V86</f>
        <v>4.6737384068140743E-2</v>
      </c>
      <c r="AC46" s="41">
        <f ca="1">'SC-NR'!W86</f>
        <v>4.6337992941620013E-2</v>
      </c>
      <c r="AD46" s="41">
        <f ca="1">'SC-NR'!X86</f>
        <v>4.5843422097114832E-2</v>
      </c>
      <c r="AE46" s="41">
        <f ca="1">'SC-NR'!Y86</f>
        <v>0.57940501039724202</v>
      </c>
      <c r="AF46" s="199">
        <f t="shared" si="2"/>
        <v>4.7064184226103549</v>
      </c>
      <c r="AG46" s="199">
        <f t="shared" si="3"/>
        <v>4.160734755679627</v>
      </c>
      <c r="AH46" s="199">
        <f t="shared" si="4"/>
        <v>5.0724899203186355</v>
      </c>
      <c r="AI46" s="199">
        <f t="shared" si="5"/>
        <v>4.938346091583556</v>
      </c>
      <c r="AJ46" s="199">
        <f t="shared" si="6"/>
        <v>4.4178029189779844</v>
      </c>
      <c r="AK46" s="199">
        <f t="shared" si="7"/>
        <v>4.9392918578778575</v>
      </c>
      <c r="AL46" s="199">
        <f t="shared" si="8"/>
        <v>-6.7844636528358953</v>
      </c>
      <c r="AM46" s="199">
        <f t="shared" si="9"/>
        <v>-6.4438973923969129</v>
      </c>
      <c r="AN46" s="199">
        <f t="shared" si="10"/>
        <v>0.37489692640272099</v>
      </c>
      <c r="AO46" s="199">
        <f t="shared" si="11"/>
        <v>4.9704699641142644</v>
      </c>
      <c r="AP46" s="199">
        <f t="shared" si="12"/>
        <v>5.4523778123446078</v>
      </c>
      <c r="AQ46" s="199">
        <f t="shared" si="13"/>
        <v>4.8694831419971205</v>
      </c>
      <c r="AR46" s="199"/>
      <c r="AS46" s="199">
        <f t="shared" si="14"/>
        <v>2.1110791302747858</v>
      </c>
      <c r="AT46" s="199">
        <f t="shared" si="15"/>
        <v>1.7425419031167304</v>
      </c>
      <c r="AU46" s="199">
        <f t="shared" si="16"/>
        <v>1.8439334651713595</v>
      </c>
      <c r="AV46" s="199">
        <f t="shared" si="17"/>
        <v>2.279554491682569</v>
      </c>
      <c r="AW46" s="199">
        <f t="shared" si="18"/>
        <v>2.4702814205039738</v>
      </c>
      <c r="AX46" s="199">
        <f t="shared" si="19"/>
        <v>2.2908308732985749</v>
      </c>
      <c r="AY46" s="199">
        <f t="shared" si="20"/>
        <v>-0.9567148480467107</v>
      </c>
      <c r="AZ46" s="199">
        <f t="shared" si="21"/>
        <v>-0.45386310819997311</v>
      </c>
      <c r="BA46" s="199">
        <f t="shared" si="22"/>
        <v>0.99333923892452858</v>
      </c>
      <c r="BB46" s="199">
        <f t="shared" si="23"/>
        <v>2.0667368557009729</v>
      </c>
      <c r="BC46" s="199">
        <f t="shared" si="24"/>
        <v>2.8671685245941605</v>
      </c>
      <c r="BD46" s="199">
        <f t="shared" si="25"/>
        <v>2.1114759157242968</v>
      </c>
    </row>
    <row r="47" spans="1:56" ht="15">
      <c r="A47" s="56" t="str">
        <f>VLOOKUP(CONCATENATE($C47," - ",$B47),[2]ACHIEV!$B$12:$C$100,2,FALSE)</f>
        <v>LO3Slow</v>
      </c>
      <c r="B47" s="56" t="str">
        <f>'SC-NR'!$C$7</f>
        <v>NR</v>
      </c>
      <c r="C47" s="56" t="str">
        <f>'SC-NR'!$C$8</f>
        <v>HPWH</v>
      </c>
      <c r="D47" s="56" t="s">
        <v>546</v>
      </c>
      <c r="E47" s="56" t="str">
        <f>'SC-NR'!$A$9</f>
        <v>Water Heating</v>
      </c>
      <c r="F47" s="198">
        <f t="shared" si="1"/>
        <v>-1.2107729772340772E-3</v>
      </c>
      <c r="G47" s="58">
        <f>'SC-NR'!A87</f>
        <v>32.764624802907406</v>
      </c>
      <c r="H47" s="58">
        <f>'SC-NR'!B87</f>
        <v>4262.5491729940195</v>
      </c>
      <c r="I47" t="str">
        <f>'SC-NR'!C87</f>
        <v>Manufactured</v>
      </c>
      <c r="J47" s="7" t="str">
        <f>'SC-NR'!D87</f>
        <v>Manufactured Tier2_indor2_zonl</v>
      </c>
      <c r="K47" s="41">
        <f ca="1">'SC-NR'!E87</f>
        <v>2.0186998276954891E-5</v>
      </c>
      <c r="L47" s="41">
        <f ca="1">'SC-NR'!F87</f>
        <v>5.1364227267098063E-5</v>
      </c>
      <c r="M47" s="41">
        <f ca="1">'SC-NR'!G87</f>
        <v>1.1293024036915326E-4</v>
      </c>
      <c r="N47" s="41">
        <f ca="1">'SC-NR'!H87</f>
        <v>2.1926281704762036E-4</v>
      </c>
      <c r="O47" s="41">
        <f ca="1">'SC-NR'!I87</f>
        <v>3.8241540608249396E-4</v>
      </c>
      <c r="P47" s="41">
        <f ca="1">'SC-NR'!J87</f>
        <v>6.0754661208041515E-4</v>
      </c>
      <c r="Q47" s="41">
        <f ca="1">'SC-NR'!K87</f>
        <v>8.8966812723080741E-4</v>
      </c>
      <c r="R47" s="41">
        <f ca="1">'SC-NR'!L87</f>
        <v>1.2132785191340844E-3</v>
      </c>
      <c r="S47" s="41">
        <f ca="1">'SC-NR'!M87</f>
        <v>1.5552210940718552E-3</v>
      </c>
      <c r="T47" s="41">
        <f ca="1">'SC-NR'!N87</f>
        <v>1.889716427082857E-3</v>
      </c>
      <c r="U47" s="41">
        <f ca="1">'SC-NR'!O87</f>
        <v>2.1937270689254725E-3</v>
      </c>
      <c r="V47" s="41">
        <f ca="1">'SC-NR'!P87</f>
        <v>2.4509313140387047E-3</v>
      </c>
      <c r="W47" s="41">
        <f ca="1">'SC-NR'!Q87</f>
        <v>2.6533905999501545E-3</v>
      </c>
      <c r="X47" s="41">
        <f ca="1">'SC-NR'!R87</f>
        <v>2.9372162381948331E-3</v>
      </c>
      <c r="Y47" s="41">
        <f ca="1">'SC-NR'!S87</f>
        <v>3.0417625090067759E-3</v>
      </c>
      <c r="Z47" s="41">
        <f ca="1">'SC-NR'!T87</f>
        <v>3.1071026725172576E-3</v>
      </c>
      <c r="AA47" s="41">
        <f ca="1">'SC-NR'!U87</f>
        <v>3.138737588047529E-3</v>
      </c>
      <c r="AB47" s="41">
        <f ca="1">'SC-NR'!V87</f>
        <v>3.1347703010194071E-3</v>
      </c>
      <c r="AC47" s="41">
        <f ca="1">'SC-NR'!W87</f>
        <v>3.1153310956407308E-3</v>
      </c>
      <c r="AD47" s="41">
        <f ca="1">'SC-NR'!X87</f>
        <v>3.0864743646908618E-3</v>
      </c>
      <c r="AE47" s="41">
        <f ca="1">'SC-NR'!Y87</f>
        <v>3.9716064388252377E-2</v>
      </c>
      <c r="AF47" s="199">
        <f t="shared" si="2"/>
        <v>-1.2684617343799307</v>
      </c>
      <c r="AG47" s="199">
        <f t="shared" si="3"/>
        <v>-0.62070770836952505</v>
      </c>
      <c r="AH47" s="199">
        <f t="shared" si="4"/>
        <v>0.89314655873234916</v>
      </c>
      <c r="AI47" s="199">
        <f t="shared" si="5"/>
        <v>1.4365377029548891</v>
      </c>
      <c r="AJ47" s="199">
        <f t="shared" si="6"/>
        <v>4.4823667357595989</v>
      </c>
      <c r="AK47" s="199">
        <f t="shared" si="7"/>
        <v>6.0659831870387801</v>
      </c>
      <c r="AL47" s="199">
        <f t="shared" si="8"/>
        <v>5.243941575606974</v>
      </c>
      <c r="AM47" s="199">
        <f t="shared" si="9"/>
        <v>5.6146892082976958</v>
      </c>
      <c r="AN47" s="199">
        <f t="shared" si="10"/>
        <v>4.5048849285350627</v>
      </c>
      <c r="AO47" s="199">
        <f t="shared" si="11"/>
        <v>3.5469138304809631</v>
      </c>
      <c r="AP47" s="199">
        <f t="shared" si="12"/>
        <v>1.4245087785196013</v>
      </c>
      <c r="AQ47" s="199">
        <f t="shared" si="13"/>
        <v>-1.8930042761901571</v>
      </c>
      <c r="AR47" s="199"/>
      <c r="AS47" s="199">
        <f t="shared" si="14"/>
        <v>-2.6546051326386291</v>
      </c>
      <c r="AT47" s="199">
        <f t="shared" si="15"/>
        <v>-1.8749618112249182</v>
      </c>
      <c r="AU47" s="199">
        <f t="shared" si="16"/>
        <v>-1.021774495049206</v>
      </c>
      <c r="AV47" s="199">
        <f t="shared" si="17"/>
        <v>-0.39258943522354012</v>
      </c>
      <c r="AW47" s="199">
        <f t="shared" si="18"/>
        <v>1.9657803139731813</v>
      </c>
      <c r="AX47" s="199">
        <f t="shared" si="19"/>
        <v>2.3381856841920232</v>
      </c>
      <c r="AY47" s="199">
        <f t="shared" si="20"/>
        <v>2.7694313393867005</v>
      </c>
      <c r="AZ47" s="199">
        <f t="shared" si="21"/>
        <v>2.0658077868167433</v>
      </c>
      <c r="BA47" s="199">
        <f t="shared" si="22"/>
        <v>2.245919453690763</v>
      </c>
      <c r="BB47" s="199">
        <f t="shared" si="23"/>
        <v>0.97421304927611541</v>
      </c>
      <c r="BC47" s="199">
        <f t="shared" si="24"/>
        <v>-0.10950933769055704</v>
      </c>
      <c r="BD47" s="199">
        <f t="shared" si="25"/>
        <v>-2.9720713995875805</v>
      </c>
    </row>
    <row r="48" spans="1:56" ht="15">
      <c r="A48" s="56" t="str">
        <f>VLOOKUP(CONCATENATE($C48," - ",$B48),[2]ACHIEV!$B$12:$C$100,2,FALSE)</f>
        <v>LO3Slow</v>
      </c>
      <c r="B48" s="56" t="str">
        <f>'SC-NR'!$C$7</f>
        <v>NR</v>
      </c>
      <c r="C48" s="56" t="str">
        <f>'SC-NR'!$C$8</f>
        <v>HPWH</v>
      </c>
      <c r="D48" s="56" t="s">
        <v>546</v>
      </c>
      <c r="E48" s="56" t="str">
        <f>'SC-NR'!$A$9</f>
        <v>Water Heating</v>
      </c>
      <c r="F48" s="198">
        <f t="shared" si="1"/>
        <v>-1.5401398661715332E-3</v>
      </c>
      <c r="G48" s="58">
        <f>'SC-NR'!A88</f>
        <v>31.639902913345086</v>
      </c>
      <c r="H48" s="58">
        <f>'SC-NR'!B88</f>
        <v>4415.4378199361927</v>
      </c>
      <c r="I48" t="str">
        <f>'SC-NR'!C88</f>
        <v>Single Family</v>
      </c>
      <c r="J48" s="7" t="str">
        <f>'SC-NR'!D88</f>
        <v>Single Family Tier2_indor2_zonl</v>
      </c>
      <c r="K48" s="41">
        <f ca="1">'SC-NR'!E88</f>
        <v>1.5220256374972522E-4</v>
      </c>
      <c r="L48" s="41">
        <f ca="1">'SC-NR'!F88</f>
        <v>3.9056196739604114E-4</v>
      </c>
      <c r="M48" s="41">
        <f ca="1">'SC-NR'!G88</f>
        <v>8.6600103754467151E-4</v>
      </c>
      <c r="N48" s="41">
        <f ca="1">'SC-NR'!H88</f>
        <v>1.6957120966534453E-3</v>
      </c>
      <c r="O48" s="41">
        <f ca="1">'SC-NR'!I88</f>
        <v>2.9826443945687306E-3</v>
      </c>
      <c r="P48" s="41">
        <f ca="1">'SC-NR'!J88</f>
        <v>4.7788639864708785E-3</v>
      </c>
      <c r="Q48" s="41">
        <f ca="1">'SC-NR'!K88</f>
        <v>7.0575191884267403E-3</v>
      </c>
      <c r="R48" s="41">
        <f ca="1">'SC-NR'!L88</f>
        <v>9.7065190910605951E-3</v>
      </c>
      <c r="S48" s="41">
        <f ca="1">'SC-NR'!M88</f>
        <v>1.2547988487230047E-2</v>
      </c>
      <c r="T48" s="41">
        <f ca="1">'SC-NR'!N88</f>
        <v>1.5376503121092341E-2</v>
      </c>
      <c r="U48" s="41">
        <f ca="1">'SC-NR'!O88</f>
        <v>1.8002072460269442E-2</v>
      </c>
      <c r="V48" s="41">
        <f ca="1">'SC-NR'!P88</f>
        <v>2.0283832744656213E-2</v>
      </c>
      <c r="W48" s="41">
        <f ca="1">'SC-NR'!Q88</f>
        <v>2.2146190707133293E-2</v>
      </c>
      <c r="X48" s="41">
        <f ca="1">'SC-NR'!R88</f>
        <v>2.8263659551209186E-2</v>
      </c>
      <c r="Y48" s="41">
        <f ca="1">'SC-NR'!S88</f>
        <v>2.9269656350355763E-2</v>
      </c>
      <c r="Z48" s="41">
        <f ca="1">'SC-NR'!T88</f>
        <v>2.9803316925549189E-2</v>
      </c>
      <c r="AA48" s="41">
        <f ca="1">'SC-NR'!U88</f>
        <v>3.0081016870357389E-2</v>
      </c>
      <c r="AB48" s="41">
        <f ca="1">'SC-NR'!V88</f>
        <v>3.0109136474549974E-2</v>
      </c>
      <c r="AC48" s="41">
        <f ca="1">'SC-NR'!W88</f>
        <v>2.985184090324448E-2</v>
      </c>
      <c r="AD48" s="41">
        <f ca="1">'SC-NR'!X88</f>
        <v>2.9533228696968023E-2</v>
      </c>
      <c r="AE48" s="41">
        <f ca="1">'SC-NR'!Y88</f>
        <v>0.37326403434676864</v>
      </c>
      <c r="AF48" s="199">
        <f t="shared" si="2"/>
        <v>-1.3514104068599837</v>
      </c>
      <c r="AG48" s="199">
        <f t="shared" si="3"/>
        <v>-0.68938206879869546</v>
      </c>
      <c r="AH48" s="199">
        <f t="shared" si="4"/>
        <v>0.82476886793984328</v>
      </c>
      <c r="AI48" s="199">
        <f t="shared" si="5"/>
        <v>1.3702754525754122</v>
      </c>
      <c r="AJ48" s="199">
        <f t="shared" si="6"/>
        <v>4.4329296512214977</v>
      </c>
      <c r="AK48" s="199">
        <f t="shared" si="7"/>
        <v>6.0201915193111368</v>
      </c>
      <c r="AL48" s="199">
        <f t="shared" si="8"/>
        <v>5.2068716307953311</v>
      </c>
      <c r="AM48" s="199">
        <f t="shared" si="9"/>
        <v>5.5752258527403322</v>
      </c>
      <c r="AN48" s="199">
        <f t="shared" si="10"/>
        <v>4.4649307088352064</v>
      </c>
      <c r="AO48" s="199">
        <f t="shared" si="11"/>
        <v>3.4911905982246787</v>
      </c>
      <c r="AP48" s="199">
        <f t="shared" si="12"/>
        <v>1.3553302339730002</v>
      </c>
      <c r="AQ48" s="199">
        <f t="shared" si="13"/>
        <v>-1.9842270146832319</v>
      </c>
      <c r="AR48" s="199"/>
      <c r="AS48" s="199">
        <f t="shared" si="14"/>
        <v>-2.7112105502479258</v>
      </c>
      <c r="AT48" s="199">
        <f t="shared" si="15"/>
        <v>-1.9187442747827306</v>
      </c>
      <c r="AU48" s="199">
        <f t="shared" si="16"/>
        <v>-1.059154257738794</v>
      </c>
      <c r="AV48" s="199">
        <f t="shared" si="17"/>
        <v>-0.43207510585816966</v>
      </c>
      <c r="AW48" s="199">
        <f t="shared" si="18"/>
        <v>1.939303337098101</v>
      </c>
      <c r="AX48" s="199">
        <f t="shared" si="19"/>
        <v>2.3191309020847712</v>
      </c>
      <c r="AY48" s="199">
        <f t="shared" si="20"/>
        <v>2.7494142033509235</v>
      </c>
      <c r="AZ48" s="199">
        <f t="shared" si="21"/>
        <v>2.0507859144385945</v>
      </c>
      <c r="BA48" s="199">
        <f t="shared" si="22"/>
        <v>2.2235520940773128</v>
      </c>
      <c r="BB48" s="199">
        <f t="shared" si="23"/>
        <v>0.94771436093500161</v>
      </c>
      <c r="BC48" s="199">
        <f t="shared" si="24"/>
        <v>-0.15387315739185597</v>
      </c>
      <c r="BD48" s="199">
        <f t="shared" si="25"/>
        <v>-3.0316355778946802</v>
      </c>
    </row>
    <row r="49" spans="1:56" ht="15">
      <c r="A49" s="56" t="str">
        <f>VLOOKUP(CONCATENATE($C49," - ",$B49),[2]ACHIEV!$B$12:$C$100,2,FALSE)</f>
        <v>LO3Slow</v>
      </c>
      <c r="B49" s="56" t="str">
        <f>'SC-NR'!$C$7</f>
        <v>NR</v>
      </c>
      <c r="C49" s="56" t="str">
        <f>'SC-NR'!$C$8</f>
        <v>HPWH</v>
      </c>
      <c r="D49" s="56" t="s">
        <v>546</v>
      </c>
      <c r="E49" s="56" t="str">
        <f>'SC-NR'!$A$9</f>
        <v>Water Heating</v>
      </c>
      <c r="F49" s="198">
        <f t="shared" si="1"/>
        <v>-1.353700259592094E-2</v>
      </c>
      <c r="G49" s="58">
        <f>'SC-NR'!A89</f>
        <v>25.501566796410994</v>
      </c>
      <c r="H49" s="58">
        <f>'SC-NR'!B89</f>
        <v>5512.2395219051987</v>
      </c>
      <c r="I49" t="str">
        <f>'SC-NR'!C89</f>
        <v>Manufactured</v>
      </c>
      <c r="J49" s="7" t="str">
        <f>'SC-NR'!D89</f>
        <v>Manufactured Tier2_indor2_efaf</v>
      </c>
      <c r="K49" s="41">
        <f ca="1">'SC-NR'!E89</f>
        <v>2.0126941757622434E-4</v>
      </c>
      <c r="L49" s="41">
        <f ca="1">'SC-NR'!F89</f>
        <v>5.1211418183471963E-4</v>
      </c>
      <c r="M49" s="41">
        <f ca="1">'SC-NR'!G89</f>
        <v>1.1259427178824289E-3</v>
      </c>
      <c r="N49" s="41">
        <f ca="1">'SC-NR'!H89</f>
        <v>2.1861050800046789E-3</v>
      </c>
      <c r="O49" s="41">
        <f ca="1">'SC-NR'!I89</f>
        <v>3.8127771647092643E-3</v>
      </c>
      <c r="P49" s="41">
        <f ca="1">'SC-NR'!J89</f>
        <v>6.0573915490658515E-3</v>
      </c>
      <c r="Q49" s="41">
        <f ca="1">'SC-NR'!K89</f>
        <v>8.8702135576189129E-3</v>
      </c>
      <c r="R49" s="41">
        <f ca="1">'SC-NR'!L89</f>
        <v>1.209669003551809E-2</v>
      </c>
      <c r="S49" s="41">
        <f ca="1">'SC-NR'!M89</f>
        <v>1.5505942959505616E-2</v>
      </c>
      <c r="T49" s="41">
        <f ca="1">'SC-NR'!N89</f>
        <v>1.8840945020408603E-2</v>
      </c>
      <c r="U49" s="41">
        <f ca="1">'SC-NR'!O89</f>
        <v>2.1872007092202037E-2</v>
      </c>
      <c r="V49" s="41">
        <f ca="1">'SC-NR'!P89</f>
        <v>2.4436397691629058E-2</v>
      </c>
      <c r="W49" s="41">
        <f ca="1">'SC-NR'!Q89</f>
        <v>2.645496736698361E-2</v>
      </c>
      <c r="X49" s="41">
        <f ca="1">'SC-NR'!R89</f>
        <v>2.9284779908649104E-2</v>
      </c>
      <c r="Y49" s="41">
        <f ca="1">'SC-NR'!S89</f>
        <v>3.0327132354882137E-2</v>
      </c>
      <c r="Z49" s="41">
        <f ca="1">'SC-NR'!T89</f>
        <v>3.0978590113666559E-2</v>
      </c>
      <c r="AA49" s="41">
        <f ca="1">'SC-NR'!U89</f>
        <v>3.1293998127106537E-2</v>
      </c>
      <c r="AB49" s="41">
        <f ca="1">'SC-NR'!V89</f>
        <v>3.1254443284006388E-2</v>
      </c>
      <c r="AC49" s="41">
        <f ca="1">'SC-NR'!W89</f>
        <v>3.1060629548500349E-2</v>
      </c>
      <c r="AD49" s="41">
        <f ca="1">'SC-NR'!X89</f>
        <v>3.0772920729598616E-2</v>
      </c>
      <c r="AE49" s="41">
        <f ca="1">'SC-NR'!Y89</f>
        <v>0.39597908704281015</v>
      </c>
      <c r="AF49" s="199">
        <f t="shared" si="2"/>
        <v>-2.6718218887574743</v>
      </c>
      <c r="AG49" s="199">
        <f t="shared" si="3"/>
        <v>-1.2616032620158</v>
      </c>
      <c r="AH49" s="199">
        <f t="shared" si="4"/>
        <v>8.8838034943339583E-2</v>
      </c>
      <c r="AI49" s="199">
        <f t="shared" si="5"/>
        <v>1.2072464292968983</v>
      </c>
      <c r="AJ49" s="199">
        <f t="shared" si="6"/>
        <v>4.1473277913583999</v>
      </c>
      <c r="AK49" s="199">
        <f t="shared" si="7"/>
        <v>5.9621092530592019</v>
      </c>
      <c r="AL49" s="199">
        <f t="shared" si="8"/>
        <v>5.2665142145857695</v>
      </c>
      <c r="AM49" s="199">
        <f t="shared" si="9"/>
        <v>5.6489668315651418</v>
      </c>
      <c r="AN49" s="199">
        <f t="shared" si="10"/>
        <v>4.2785638721526702</v>
      </c>
      <c r="AO49" s="199">
        <f t="shared" si="11"/>
        <v>2.6527067763532903</v>
      </c>
      <c r="AP49" s="199">
        <f t="shared" si="12"/>
        <v>0.57267653486096359</v>
      </c>
      <c r="AQ49" s="199">
        <f t="shared" si="13"/>
        <v>-3.6959787741670556</v>
      </c>
      <c r="AR49" s="199"/>
      <c r="AS49" s="199">
        <f t="shared" si="14"/>
        <v>-2.5314001957710612</v>
      </c>
      <c r="AT49" s="199">
        <f t="shared" si="15"/>
        <v>-1.7441886782884426</v>
      </c>
      <c r="AU49" s="199">
        <f t="shared" si="16"/>
        <v>-0.88355315339147367</v>
      </c>
      <c r="AV49" s="199">
        <f t="shared" si="17"/>
        <v>-1.1277346561394523E-2</v>
      </c>
      <c r="AW49" s="199">
        <f t="shared" si="18"/>
        <v>1.9157857942750176</v>
      </c>
      <c r="AX49" s="199">
        <f t="shared" si="19"/>
        <v>2.3336923798764087</v>
      </c>
      <c r="AY49" s="199">
        <f t="shared" si="20"/>
        <v>2.8055502790700912</v>
      </c>
      <c r="AZ49" s="199">
        <f t="shared" si="21"/>
        <v>2.1029851120890433</v>
      </c>
      <c r="BA49" s="199">
        <f t="shared" si="22"/>
        <v>2.2223973848407783</v>
      </c>
      <c r="BB49" s="199">
        <f t="shared" si="23"/>
        <v>0.73068361509821667</v>
      </c>
      <c r="BC49" s="199">
        <f t="shared" si="24"/>
        <v>-0.28777338261801</v>
      </c>
      <c r="BD49" s="199">
        <f t="shared" si="25"/>
        <v>-3.3468808254435558</v>
      </c>
    </row>
    <row r="50" spans="1:56" ht="15">
      <c r="A50" s="56" t="str">
        <f>VLOOKUP(CONCATENATE($C50," - ",$B50),[2]ACHIEV!$B$12:$C$100,2,FALSE)</f>
        <v>LO3Slow</v>
      </c>
      <c r="B50" s="56" t="str">
        <f>'SC-NR'!$C$7</f>
        <v>NR</v>
      </c>
      <c r="C50" s="56" t="str">
        <f>'SC-NR'!$C$8</f>
        <v>HPWH</v>
      </c>
      <c r="D50" s="56" t="s">
        <v>546</v>
      </c>
      <c r="E50" s="56" t="str">
        <f>'SC-NR'!$A$9</f>
        <v>Water Heating</v>
      </c>
      <c r="F50" s="198">
        <f t="shared" si="1"/>
        <v>-1.3963938996475144E-2</v>
      </c>
      <c r="G50" s="58">
        <f>'SC-NR'!A90</f>
        <v>24.359737456425254</v>
      </c>
      <c r="H50" s="58">
        <f>'SC-NR'!B90</f>
        <v>5772.7243738645357</v>
      </c>
      <c r="I50" t="str">
        <f>'SC-NR'!C90</f>
        <v>Single Family</v>
      </c>
      <c r="J50" s="7" t="str">
        <f>'SC-NR'!D90</f>
        <v>Single Family Tier2_indor2_efaf</v>
      </c>
      <c r="K50" s="41">
        <f ca="1">'SC-NR'!E90</f>
        <v>4.3509997284072801E-5</v>
      </c>
      <c r="L50" s="41">
        <f ca="1">'SC-NR'!F90</f>
        <v>1.116495656972438E-4</v>
      </c>
      <c r="M50" s="41">
        <f ca="1">'SC-NR'!G90</f>
        <v>2.475628653242111E-4</v>
      </c>
      <c r="N50" s="41">
        <f ca="1">'SC-NR'!H90</f>
        <v>4.8475155018598689E-4</v>
      </c>
      <c r="O50" s="41">
        <f ca="1">'SC-NR'!I90</f>
        <v>8.5264562113707978E-4</v>
      </c>
      <c r="P50" s="41">
        <f ca="1">'SC-NR'!J90</f>
        <v>1.3661291501909846E-3</v>
      </c>
      <c r="Q50" s="41">
        <f ca="1">'SC-NR'!K90</f>
        <v>2.0175260728569266E-3</v>
      </c>
      <c r="R50" s="41">
        <f ca="1">'SC-NR'!L90</f>
        <v>2.7747930710569895E-3</v>
      </c>
      <c r="S50" s="41">
        <f ca="1">'SC-NR'!M90</f>
        <v>3.5870811341766366E-3</v>
      </c>
      <c r="T50" s="41">
        <f ca="1">'SC-NR'!N90</f>
        <v>4.3956658321300628E-3</v>
      </c>
      <c r="U50" s="41">
        <f ca="1">'SC-NR'!O90</f>
        <v>5.146234758186978E-3</v>
      </c>
      <c r="V50" s="41">
        <f ca="1">'SC-NR'!P90</f>
        <v>5.7985193277151487E-3</v>
      </c>
      <c r="W50" s="41">
        <f ca="1">'SC-NR'!Q90</f>
        <v>6.3309097677513165E-3</v>
      </c>
      <c r="X50" s="41">
        <f ca="1">'SC-NR'!R90</f>
        <v>8.0797045727377895E-3</v>
      </c>
      <c r="Y50" s="41">
        <f ca="1">'SC-NR'!S90</f>
        <v>8.3672878888153609E-3</v>
      </c>
      <c r="Z50" s="41">
        <f ca="1">'SC-NR'!T90</f>
        <v>8.5198449128577689E-3</v>
      </c>
      <c r="AA50" s="41">
        <f ca="1">'SC-NR'!U90</f>
        <v>8.599230723101146E-3</v>
      </c>
      <c r="AB50" s="41">
        <f ca="1">'SC-NR'!V90</f>
        <v>8.6072692467101218E-3</v>
      </c>
      <c r="AC50" s="41">
        <f ca="1">'SC-NR'!W90</f>
        <v>8.5337164146624643E-3</v>
      </c>
      <c r="AD50" s="41">
        <f ca="1">'SC-NR'!X90</f>
        <v>8.4426350564498903E-3</v>
      </c>
      <c r="AE50" s="41">
        <f ca="1">'SC-NR'!Y90</f>
        <v>0.10670462258030972</v>
      </c>
      <c r="AF50" s="199">
        <f t="shared" si="2"/>
        <v>-2.7641120399014825</v>
      </c>
      <c r="AG50" s="199">
        <f t="shared" si="3"/>
        <v>-1.3332928300573716</v>
      </c>
      <c r="AH50" s="199">
        <f t="shared" si="4"/>
        <v>1.6075273579597728E-2</v>
      </c>
      <c r="AI50" s="199">
        <f t="shared" si="5"/>
        <v>1.1417264201991524</v>
      </c>
      <c r="AJ50" s="199">
        <f t="shared" si="6"/>
        <v>4.0972224749763431</v>
      </c>
      <c r="AK50" s="199">
        <f t="shared" si="7"/>
        <v>5.9176981069993984</v>
      </c>
      <c r="AL50" s="199">
        <f t="shared" si="8"/>
        <v>5.2315461728156389</v>
      </c>
      <c r="AM50" s="199">
        <f t="shared" si="9"/>
        <v>5.6118356680162389</v>
      </c>
      <c r="AN50" s="199">
        <f t="shared" si="10"/>
        <v>4.2385349938935315</v>
      </c>
      <c r="AO50" s="199">
        <f t="shared" si="11"/>
        <v>2.5914713336982573</v>
      </c>
      <c r="AP50" s="199">
        <f t="shared" si="12"/>
        <v>0.49875742543257645</v>
      </c>
      <c r="AQ50" s="199">
        <f t="shared" si="13"/>
        <v>-3.7998475170892378</v>
      </c>
      <c r="AR50" s="199"/>
      <c r="AS50" s="199">
        <f t="shared" si="14"/>
        <v>-2.5847890564744938</v>
      </c>
      <c r="AT50" s="199">
        <f t="shared" si="15"/>
        <v>-1.7851508282948585</v>
      </c>
      <c r="AU50" s="199">
        <f t="shared" si="16"/>
        <v>-0.91824301136900077</v>
      </c>
      <c r="AV50" s="199">
        <f t="shared" si="17"/>
        <v>-4.5753693646122418E-2</v>
      </c>
      <c r="AW50" s="199">
        <f t="shared" si="18"/>
        <v>1.8900831810277001</v>
      </c>
      <c r="AX50" s="199">
        <f t="shared" si="19"/>
        <v>2.3155466941251195</v>
      </c>
      <c r="AY50" s="199">
        <f t="shared" si="20"/>
        <v>2.7868788042766286</v>
      </c>
      <c r="AZ50" s="199">
        <f t="shared" si="21"/>
        <v>2.0890627743771879</v>
      </c>
      <c r="BA50" s="199">
        <f t="shared" si="22"/>
        <v>2.2008959815611875</v>
      </c>
      <c r="BB50" s="199">
        <f t="shared" si="23"/>
        <v>0.70314544735680606</v>
      </c>
      <c r="BC50" s="199">
        <f t="shared" si="24"/>
        <v>-0.33194242635451249</v>
      </c>
      <c r="BD50" s="199">
        <f t="shared" si="25"/>
        <v>-3.407611892723041</v>
      </c>
    </row>
    <row r="52" spans="1:56">
      <c r="J52" s="7"/>
    </row>
    <row r="53" spans="1:56">
      <c r="J53" s="7"/>
    </row>
    <row r="54" spans="1:56">
      <c r="J54" s="7"/>
    </row>
    <row r="55" spans="1:56">
      <c r="J55" s="7"/>
    </row>
    <row r="56" spans="1:56">
      <c r="J56"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153"/>
  <sheetViews>
    <sheetView topLeftCell="B1" workbookViewId="0">
      <selection activeCell="E13" sqref="E13:X14"/>
    </sheetView>
  </sheetViews>
  <sheetFormatPr defaultRowHeight="12.75"/>
  <cols>
    <col min="1" max="1" width="35" style="7" customWidth="1"/>
    <col min="2" max="2" width="29.28515625" style="7" customWidth="1"/>
    <col min="3" max="3" width="19.85546875" style="7" customWidth="1"/>
    <col min="4" max="4" width="36" style="7" customWidth="1"/>
    <col min="5" max="5" width="10.7109375" style="7" customWidth="1"/>
    <col min="6" max="25" width="9.5703125" style="7" bestFit="1" customWidth="1"/>
    <col min="26" max="28" width="9.140625" style="7"/>
    <col min="29" max="29" width="21.7109375" style="7" customWidth="1"/>
    <col min="30" max="30" width="35.85546875" style="7" customWidth="1"/>
    <col min="31" max="31" width="35.28515625" style="7" customWidth="1"/>
    <col min="32" max="32" width="15" style="7" customWidth="1"/>
    <col min="33" max="33" width="17.7109375" style="7" customWidth="1"/>
    <col min="34" max="34" width="15.140625" style="7" customWidth="1"/>
    <col min="35" max="35" width="15.7109375" style="7" customWidth="1"/>
    <col min="36" max="36" width="21.28515625" style="7" customWidth="1"/>
    <col min="37" max="37" width="17.7109375" style="7" bestFit="1" customWidth="1"/>
    <col min="38" max="38" width="15.42578125" style="7" bestFit="1" customWidth="1"/>
    <col min="39" max="39" width="14.28515625" style="7" bestFit="1" customWidth="1"/>
    <col min="40" max="40" width="14.28515625" style="7" customWidth="1"/>
    <col min="41" max="41" width="12.5703125" style="7" customWidth="1"/>
    <col min="42" max="42" width="14" style="7" bestFit="1" customWidth="1"/>
    <col min="43" max="44" width="10.85546875" style="7" bestFit="1" customWidth="1"/>
    <col min="45" max="45" width="13.42578125" style="7" customWidth="1"/>
    <col min="46" max="46" width="11.85546875" style="7" bestFit="1" customWidth="1"/>
    <col min="47" max="47" width="11" style="7" bestFit="1" customWidth="1"/>
    <col min="48" max="48" width="14.28515625" style="7" bestFit="1" customWidth="1"/>
    <col min="49" max="49" width="10.7109375" style="7" customWidth="1"/>
    <col min="50" max="50" width="13.85546875" style="7" bestFit="1" customWidth="1"/>
    <col min="51" max="51" width="11.7109375" style="7" bestFit="1" customWidth="1"/>
    <col min="52" max="52" width="15.28515625" style="7" bestFit="1" customWidth="1"/>
    <col min="53" max="55" width="12.28515625" style="7" bestFit="1" customWidth="1"/>
    <col min="56" max="56" width="12.5703125" style="7" bestFit="1" customWidth="1"/>
    <col min="57" max="59" width="14.28515625" style="7" bestFit="1" customWidth="1"/>
    <col min="60" max="60" width="13.7109375" style="7" bestFit="1" customWidth="1"/>
    <col min="61" max="61" width="14" style="7" bestFit="1" customWidth="1"/>
    <col min="62" max="62" width="12.85546875" style="7" bestFit="1" customWidth="1"/>
    <col min="63" max="63" width="15.28515625" style="7" bestFit="1" customWidth="1"/>
    <col min="64" max="64" width="12.28515625" style="7" bestFit="1" customWidth="1"/>
    <col min="65" max="65" width="10.85546875" style="7" bestFit="1" customWidth="1"/>
    <col min="66" max="66" width="12.28515625" style="7" bestFit="1" customWidth="1"/>
    <col min="67" max="67" width="12.5703125" style="7" bestFit="1" customWidth="1"/>
    <col min="68" max="16384" width="9.140625" style="7"/>
  </cols>
  <sheetData>
    <row r="1" spans="1:69">
      <c r="A1" s="45" t="s">
        <v>57</v>
      </c>
      <c r="B1" s="206" t="s">
        <v>454</v>
      </c>
      <c r="C1" s="206"/>
      <c r="D1" s="206"/>
      <c r="E1" s="206"/>
      <c r="F1" s="206"/>
      <c r="G1" s="206"/>
      <c r="H1" s="206"/>
      <c r="I1" s="206"/>
      <c r="J1" s="206"/>
      <c r="K1" s="206"/>
      <c r="L1" s="206"/>
      <c r="M1" s="206"/>
      <c r="N1" s="206"/>
      <c r="O1" s="206"/>
      <c r="P1" s="206"/>
      <c r="Q1" s="206"/>
      <c r="R1" s="206"/>
      <c r="S1" s="206"/>
      <c r="T1" s="206"/>
    </row>
    <row r="2" spans="1:69">
      <c r="A2" s="46" t="s">
        <v>148</v>
      </c>
      <c r="B2" s="206"/>
      <c r="C2" s="206"/>
      <c r="D2" s="206"/>
      <c r="E2" s="206"/>
      <c r="F2" s="206"/>
      <c r="G2" s="206"/>
      <c r="H2" s="206"/>
      <c r="I2" s="206"/>
      <c r="J2" s="206"/>
      <c r="K2" s="206"/>
      <c r="L2" s="206"/>
      <c r="M2" s="206"/>
      <c r="N2" s="206"/>
      <c r="O2" s="206"/>
      <c r="P2" s="206"/>
      <c r="Q2" s="206"/>
      <c r="R2" s="206"/>
      <c r="S2" s="206"/>
      <c r="T2" s="206"/>
    </row>
    <row r="3" spans="1:69">
      <c r="B3" s="206"/>
      <c r="C3" s="206"/>
      <c r="D3" s="206"/>
      <c r="E3" s="206"/>
      <c r="F3" s="206"/>
      <c r="G3" s="206"/>
      <c r="H3" s="206"/>
      <c r="I3" s="206"/>
      <c r="J3" s="206"/>
      <c r="K3" s="206"/>
      <c r="L3" s="206"/>
      <c r="M3" s="206"/>
      <c r="N3" s="206"/>
      <c r="O3" s="206"/>
      <c r="P3" s="206"/>
      <c r="Q3" s="206"/>
      <c r="R3" s="206"/>
      <c r="S3" s="206"/>
      <c r="T3" s="206"/>
    </row>
    <row r="4" spans="1:69">
      <c r="B4" s="206"/>
      <c r="C4" s="206"/>
      <c r="D4" s="206"/>
      <c r="E4" s="206"/>
      <c r="F4" s="206"/>
      <c r="G4" s="206"/>
      <c r="H4" s="206"/>
      <c r="I4" s="206"/>
      <c r="J4" s="206"/>
      <c r="K4" s="206"/>
      <c r="L4" s="206"/>
      <c r="M4" s="206"/>
      <c r="N4" s="206"/>
      <c r="O4" s="206"/>
      <c r="P4" s="206"/>
      <c r="Q4" s="206"/>
      <c r="R4" s="206"/>
      <c r="S4" s="206"/>
      <c r="T4" s="206"/>
    </row>
    <row r="5" spans="1:69">
      <c r="B5" s="206"/>
      <c r="C5" s="206"/>
      <c r="D5" s="206"/>
      <c r="E5" s="206"/>
      <c r="F5" s="206"/>
      <c r="G5" s="206"/>
      <c r="H5" s="206"/>
      <c r="I5" s="206"/>
      <c r="J5" s="206"/>
      <c r="K5" s="206"/>
      <c r="L5" s="206"/>
      <c r="M5" s="206"/>
      <c r="N5" s="206"/>
      <c r="O5" s="206"/>
      <c r="P5" s="206"/>
      <c r="Q5" s="206"/>
      <c r="R5" s="206"/>
      <c r="S5" s="206"/>
      <c r="T5" s="206"/>
    </row>
    <row r="6" spans="1:69">
      <c r="B6" s="206"/>
      <c r="C6" s="206"/>
      <c r="D6" s="206"/>
      <c r="E6" s="206"/>
      <c r="F6" s="206"/>
      <c r="G6" s="206"/>
      <c r="H6" s="206"/>
      <c r="I6" s="206"/>
      <c r="J6" s="206"/>
      <c r="K6" s="206"/>
      <c r="L6" s="206"/>
      <c r="M6" s="206"/>
      <c r="N6" s="206"/>
      <c r="O6" s="206"/>
      <c r="P6" s="206"/>
      <c r="Q6" s="206"/>
      <c r="R6" s="206"/>
      <c r="S6" s="206"/>
      <c r="T6" s="206"/>
    </row>
    <row r="7" spans="1:69">
      <c r="A7" s="203"/>
      <c r="B7" s="203" t="s">
        <v>49</v>
      </c>
      <c r="C7" s="52" t="s">
        <v>56</v>
      </c>
      <c r="D7" s="52" t="s">
        <v>56</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203" t="s">
        <v>583</v>
      </c>
      <c r="B8" s="203" t="s">
        <v>58</v>
      </c>
      <c r="C8" s="52" t="str">
        <f>[2]MLIST!$B$19</f>
        <v>HPWH</v>
      </c>
      <c r="D8" s="52"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203" t="str">
        <f>INDEX([2]ACHIEV!$A$19:$B$100,MATCH(CONCATENATE($C$8," - ",$C$7),[2]ACHIEV!$B$19:$B$100,0),1)</f>
        <v>Water Heating</v>
      </c>
      <c r="B9" s="204" t="s">
        <v>59</v>
      </c>
      <c r="C9" s="52">
        <f>[2]FILES!$H$4</f>
        <v>2035</v>
      </c>
      <c r="D9" s="52"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203"/>
      <c r="B10" s="203" t="s">
        <v>588</v>
      </c>
      <c r="C10" s="205">
        <f ca="1">MIN(SUM(E63:X63),Y63)</f>
        <v>22.199518178603135</v>
      </c>
      <c r="D10" s="55"/>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56" t="str">
        <f>CONCATENATE("# HOMES AVAILABLE FOR MEASURE -",$C$8)</f>
        <v># HOMES AVAILABLE FOR MEASURE -HPWH</v>
      </c>
      <c r="C11" s="7" t="s">
        <v>140</v>
      </c>
      <c r="E11" s="59">
        <v>2016</v>
      </c>
      <c r="F11" s="60">
        <v>2017</v>
      </c>
      <c r="G11" s="60">
        <v>2018</v>
      </c>
      <c r="H11" s="60">
        <v>2019</v>
      </c>
      <c r="I11" s="60">
        <v>2020</v>
      </c>
      <c r="J11" s="60">
        <v>2021</v>
      </c>
      <c r="K11" s="60">
        <v>2022</v>
      </c>
      <c r="L11" s="60">
        <v>2023</v>
      </c>
      <c r="M11" s="60">
        <v>2024</v>
      </c>
      <c r="N11" s="60">
        <v>2025</v>
      </c>
      <c r="O11" s="60">
        <v>2026</v>
      </c>
      <c r="P11" s="60">
        <v>2027</v>
      </c>
      <c r="Q11" s="60">
        <v>2028</v>
      </c>
      <c r="R11" s="60">
        <v>2029</v>
      </c>
      <c r="S11" s="60">
        <v>2030</v>
      </c>
      <c r="T11" s="60">
        <v>2031</v>
      </c>
      <c r="U11" s="60">
        <v>2032</v>
      </c>
      <c r="V11" s="60">
        <v>2033</v>
      </c>
      <c r="W11" s="60">
        <v>2034</v>
      </c>
      <c r="X11" s="60">
        <v>2035</v>
      </c>
      <c r="Y11" s="6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2" t="str">
        <f>CONCATENATE("Homes_",E11)</f>
        <v>Homes_2016</v>
      </c>
      <c r="F12" s="63" t="str">
        <f t="shared" ref="F12:X12" si="0">CONCATENATE("Homes_",F11)</f>
        <v>Homes_2017</v>
      </c>
      <c r="G12" s="63" t="str">
        <f t="shared" si="0"/>
        <v>Homes_2018</v>
      </c>
      <c r="H12" s="63" t="str">
        <f t="shared" si="0"/>
        <v>Homes_2019</v>
      </c>
      <c r="I12" s="63" t="str">
        <f t="shared" si="0"/>
        <v>Homes_2020</v>
      </c>
      <c r="J12" s="63" t="str">
        <f t="shared" si="0"/>
        <v>Homes_2021</v>
      </c>
      <c r="K12" s="63" t="str">
        <f t="shared" si="0"/>
        <v>Homes_2022</v>
      </c>
      <c r="L12" s="63" t="str">
        <f t="shared" si="0"/>
        <v>Homes_2023</v>
      </c>
      <c r="M12" s="63" t="str">
        <f t="shared" si="0"/>
        <v>Homes_2024</v>
      </c>
      <c r="N12" s="63" t="str">
        <f t="shared" si="0"/>
        <v>Homes_2025</v>
      </c>
      <c r="O12" s="63" t="str">
        <f t="shared" si="0"/>
        <v>Homes_2026</v>
      </c>
      <c r="P12" s="63" t="str">
        <f t="shared" si="0"/>
        <v>Homes_2027</v>
      </c>
      <c r="Q12" s="63" t="str">
        <f t="shared" si="0"/>
        <v>Homes_2028</v>
      </c>
      <c r="R12" s="63" t="str">
        <f t="shared" si="0"/>
        <v>Homes_2029</v>
      </c>
      <c r="S12" s="63" t="str">
        <f t="shared" si="0"/>
        <v>Homes_2030</v>
      </c>
      <c r="T12" s="63" t="str">
        <f t="shared" si="0"/>
        <v>Homes_2031</v>
      </c>
      <c r="U12" s="63" t="str">
        <f t="shared" si="0"/>
        <v>Homes_2032</v>
      </c>
      <c r="V12" s="63" t="str">
        <f t="shared" si="0"/>
        <v>Homes_2033</v>
      </c>
      <c r="W12" s="63" t="str">
        <f t="shared" si="0"/>
        <v>Homes_2034</v>
      </c>
      <c r="X12" s="63" t="str">
        <f t="shared" si="0"/>
        <v>Homes_2035</v>
      </c>
      <c r="Y12" s="64"/>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7" t="s">
        <v>56</v>
      </c>
      <c r="C13" s="7" t="s">
        <v>50</v>
      </c>
      <c r="E13" s="35">
        <f ca="1">INDEX([1]!tbl_Forecast,MATCH($D$8&amp;$C13&amp;$D$7,[1]!rng_ForecastRowLookup,0),MATCH(E$11,[1]!rng_ForecastColumnLookup,0))</f>
        <v>62685.758999999998</v>
      </c>
      <c r="F13" s="35">
        <f ca="1">INDEX([1]!tbl_Forecast,MATCH($D$8&amp;$C13&amp;$D$7,[1]!rng_ForecastRowLookup,0),MATCH(F$11,[1]!rng_ForecastColumnLookup,0))</f>
        <v>59961.781000000003</v>
      </c>
      <c r="G13" s="35">
        <f ca="1">INDEX([1]!tbl_Forecast,MATCH($D$8&amp;$C13&amp;$D$7,[1]!rng_ForecastRowLookup,0),MATCH(G$11,[1]!rng_ForecastColumnLookup,0))</f>
        <v>56834.012000000002</v>
      </c>
      <c r="H13" s="35">
        <f ca="1">INDEX([1]!tbl_Forecast,MATCH($D$8&amp;$C13&amp;$D$7,[1]!rng_ForecastRowLookup,0),MATCH(H$11,[1]!rng_ForecastColumnLookup,0))</f>
        <v>54985.192999999999</v>
      </c>
      <c r="I13" s="35">
        <f ca="1">INDEX([1]!tbl_Forecast,MATCH($D$8&amp;$C13&amp;$D$7,[1]!rng_ForecastRowLookup,0),MATCH(I$11,[1]!rng_ForecastColumnLookup,0))</f>
        <v>53507.474000000002</v>
      </c>
      <c r="J13" s="35">
        <f ca="1">INDEX([1]!tbl_Forecast,MATCH($D$8&amp;$C13&amp;$D$7,[1]!rng_ForecastRowLookup,0),MATCH(J$11,[1]!rng_ForecastColumnLookup,0))</f>
        <v>50982.05</v>
      </c>
      <c r="K13" s="35">
        <f ca="1">INDEX([1]!tbl_Forecast,MATCH($D$8&amp;$C13&amp;$D$7,[1]!rng_ForecastRowLookup,0),MATCH(K$11,[1]!rng_ForecastColumnLookup,0))</f>
        <v>49561.669000000002</v>
      </c>
      <c r="L13" s="35">
        <f ca="1">INDEX([1]!tbl_Forecast,MATCH($D$8&amp;$C13&amp;$D$7,[1]!rng_ForecastRowLookup,0),MATCH(L$11,[1]!rng_ForecastColumnLookup,0))</f>
        <v>49324.517999999996</v>
      </c>
      <c r="M13" s="35">
        <f ca="1">INDEX([1]!tbl_Forecast,MATCH($D$8&amp;$C13&amp;$D$7,[1]!rng_ForecastRowLookup,0),MATCH(M$11,[1]!rng_ForecastColumnLookup,0))</f>
        <v>48815.77</v>
      </c>
      <c r="N13" s="35">
        <f ca="1">INDEX([1]!tbl_Forecast,MATCH($D$8&amp;$C13&amp;$D$7,[1]!rng_ForecastRowLookup,0),MATCH(N$11,[1]!rng_ForecastColumnLookup,0))</f>
        <v>49683.252</v>
      </c>
      <c r="O13" s="35">
        <f ca="1">INDEX([1]!tbl_Forecast,MATCH($D$8&amp;$C13&amp;$D$7,[1]!rng_ForecastRowLookup,0),MATCH(O$11,[1]!rng_ForecastColumnLookup,0))</f>
        <v>50030.137000000002</v>
      </c>
      <c r="P13" s="35">
        <f ca="1">INDEX([1]!tbl_Forecast,MATCH($D$8&amp;$C13&amp;$D$7,[1]!rng_ForecastRowLookup,0),MATCH(P$11,[1]!rng_ForecastColumnLookup,0))</f>
        <v>49387.762999999999</v>
      </c>
      <c r="Q13" s="35">
        <f ca="1">INDEX([1]!tbl_Forecast,MATCH($D$8&amp;$C13&amp;$D$7,[1]!rng_ForecastRowLookup,0),MATCH(Q$11,[1]!rng_ForecastColumnLookup,0))</f>
        <v>48079.345999999998</v>
      </c>
      <c r="R13" s="35">
        <f ca="1">INDEX([1]!tbl_Forecast,MATCH($D$8&amp;$C13&amp;$D$7,[1]!rng_ForecastRowLookup,0),MATCH(R$11,[1]!rng_ForecastColumnLookup,0))</f>
        <v>48129.050999999999</v>
      </c>
      <c r="S13" s="35">
        <f ca="1">INDEX([1]!tbl_Forecast,MATCH($D$8&amp;$C13&amp;$D$7,[1]!rng_ForecastRowLookup,0),MATCH(S$11,[1]!rng_ForecastColumnLookup,0))</f>
        <v>48690.569000000003</v>
      </c>
      <c r="T13" s="35">
        <f ca="1">INDEX([1]!tbl_Forecast,MATCH($D$8&amp;$C13&amp;$D$7,[1]!rng_ForecastRowLookup,0),MATCH(T$11,[1]!rng_ForecastColumnLookup,0))</f>
        <v>48482.864000000001</v>
      </c>
      <c r="U13" s="35">
        <f ca="1">INDEX([1]!tbl_Forecast,MATCH($D$8&amp;$C13&amp;$D$7,[1]!rng_ForecastRowLookup,0),MATCH(U$11,[1]!rng_ForecastColumnLookup,0))</f>
        <v>46879.000999999997</v>
      </c>
      <c r="V13" s="35">
        <f ca="1">INDEX([1]!tbl_Forecast,MATCH($D$8&amp;$C13&amp;$D$7,[1]!rng_ForecastRowLookup,0),MATCH(V$11,[1]!rng_ForecastColumnLookup,0))</f>
        <v>46798.777999999998</v>
      </c>
      <c r="W13" s="35">
        <f ca="1">INDEX([1]!tbl_Forecast,MATCH($D$8&amp;$C13&amp;$D$7,[1]!rng_ForecastRowLookup,0),MATCH(W$11,[1]!rng_ForecastColumnLookup,0))</f>
        <v>46917.627</v>
      </c>
      <c r="X13" s="35">
        <f ca="1">INDEX([1]!tbl_Forecast,MATCH($D$8&amp;$C13&amp;$D$7,[1]!rng_ForecastRowLookup,0),MATCH(X$11,[1]!rng_ForecastColumnLookup,0))</f>
        <v>47236.144999999997</v>
      </c>
      <c r="Y13" s="35"/>
      <c r="AA13" s="35">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7" t="s">
        <v>56</v>
      </c>
      <c r="C14" s="7" t="s">
        <v>53</v>
      </c>
      <c r="E14" s="35">
        <f ca="1">INDEX([1]!tbl_Forecast,MATCH($D$8&amp;$C14&amp;$D$7,[1]!rng_ForecastRowLookup,0),MATCH(E$11,[1]!rng_ForecastColumnLookup,0))</f>
        <v>1869.5754050925925</v>
      </c>
      <c r="F14" s="35">
        <f ca="1">INDEX([1]!tbl_Forecast,MATCH($D$8&amp;$C14&amp;$D$7,[1]!rng_ForecastRowLookup,0),MATCH(F$11,[1]!rng_ForecastColumnLookup,0))</f>
        <v>1881.796305941358</v>
      </c>
      <c r="G14" s="35">
        <f ca="1">INDEX([1]!tbl_Forecast,MATCH($D$8&amp;$C14&amp;$D$7,[1]!rng_ForecastRowLookup,0),MATCH(G$11,[1]!rng_ForecastColumnLookup,0))</f>
        <v>1949.1340235982509</v>
      </c>
      <c r="H14" s="35">
        <f ca="1">INDEX([1]!tbl_Forecast,MATCH($D$8&amp;$C14&amp;$D$7,[1]!rng_ForecastRowLookup,0),MATCH(H$11,[1]!rng_ForecastColumnLookup,0))</f>
        <v>2021.1963608646258</v>
      </c>
      <c r="I14" s="35">
        <f ca="1">INDEX([1]!tbl_Forecast,MATCH($D$8&amp;$C14&amp;$D$7,[1]!rng_ForecastRowLookup,0),MATCH(I$11,[1]!rng_ForecastColumnLookup,0))</f>
        <v>1959.5061710087307</v>
      </c>
      <c r="J14" s="35">
        <f ca="1">INDEX([1]!tbl_Forecast,MATCH($D$8&amp;$C14&amp;$D$7,[1]!rng_ForecastRowLookup,0),MATCH(J$11,[1]!rng_ForecastColumnLookup,0))</f>
        <v>1928.5764356212967</v>
      </c>
      <c r="K14" s="35">
        <f ca="1">INDEX([1]!tbl_Forecast,MATCH($D$8&amp;$C14&amp;$D$7,[1]!rng_ForecastRowLookup,0),MATCH(K$11,[1]!rng_ForecastColumnLookup,0))</f>
        <v>1934.9641170211423</v>
      </c>
      <c r="L14" s="35">
        <f ca="1">INDEX([1]!tbl_Forecast,MATCH($D$8&amp;$C14&amp;$D$7,[1]!rng_ForecastRowLookup,0),MATCH(L$11,[1]!rng_ForecastColumnLookup,0))</f>
        <v>1945.862235675901</v>
      </c>
      <c r="M14" s="35">
        <f ca="1">INDEX([1]!tbl_Forecast,MATCH($D$8&amp;$C14&amp;$D$7,[1]!rng_ForecastRowLookup,0),MATCH(M$11,[1]!rng_ForecastColumnLookup,0))</f>
        <v>1956.539890631658</v>
      </c>
      <c r="N14" s="35">
        <f ca="1">INDEX([1]!tbl_Forecast,MATCH($D$8&amp;$C14&amp;$D$7,[1]!rng_ForecastRowLookup,0),MATCH(N$11,[1]!rng_ForecastColumnLookup,0))</f>
        <v>1957.7742018038925</v>
      </c>
      <c r="O14" s="35">
        <f ca="1">INDEX([1]!tbl_Forecast,MATCH($D$8&amp;$C14&amp;$D$7,[1]!rng_ForecastRowLookup,0),MATCH(O$11,[1]!rng_ForecastColumnLookup,0))</f>
        <v>1947.2038419604366</v>
      </c>
      <c r="P14" s="35">
        <f ca="1">INDEX([1]!tbl_Forecast,MATCH($D$8&amp;$C14&amp;$D$7,[1]!rng_ForecastRowLookup,0),MATCH(P$11,[1]!rng_ForecastColumnLookup,0))</f>
        <v>1945.153453785721</v>
      </c>
      <c r="Q14" s="35">
        <f ca="1">INDEX([1]!tbl_Forecast,MATCH($D$8&amp;$C14&amp;$D$7,[1]!rng_ForecastRowLookup,0),MATCH(Q$11,[1]!rng_ForecastColumnLookup,0))</f>
        <v>1947.9162901464586</v>
      </c>
      <c r="R14" s="35">
        <f ca="1">INDEX([1]!tbl_Forecast,MATCH($D$8&amp;$C14&amp;$D$7,[1]!rng_ForecastRowLookup,0),MATCH(R$11,[1]!rng_ForecastColumnLookup,0))</f>
        <v>1950.0749856673444</v>
      </c>
      <c r="S14" s="35">
        <f ca="1">INDEX([1]!tbl_Forecast,MATCH($D$8&amp;$C14&amp;$D$7,[1]!rng_ForecastRowLookup,0),MATCH(S$11,[1]!rng_ForecastColumnLookup,0))</f>
        <v>1950.7771106659191</v>
      </c>
      <c r="T14" s="35">
        <f ca="1">INDEX([1]!tbl_Forecast,MATCH($D$8&amp;$C14&amp;$D$7,[1]!rng_ForecastRowLookup,0),MATCH(T$11,[1]!rng_ForecastColumnLookup,0))</f>
        <v>1949.8166473382953</v>
      </c>
      <c r="U14" s="35">
        <f ca="1">INDEX([1]!tbl_Forecast,MATCH($D$8&amp;$C14&amp;$D$7,[1]!rng_ForecastRowLookup,0),MATCH(U$11,[1]!rng_ForecastColumnLookup,0))</f>
        <v>1948.4903882606959</v>
      </c>
      <c r="V14" s="35">
        <f ca="1">INDEX([1]!tbl_Forecast,MATCH($D$8&amp;$C14&amp;$D$7,[1]!rng_ForecastRowLookup,0),MATCH(V$11,[1]!rng_ForecastColumnLookup,0))</f>
        <v>1948.7048126440727</v>
      </c>
      <c r="W14" s="35">
        <f ca="1">INDEX([1]!tbl_Forecast,MATCH($D$8&amp;$C14&amp;$D$7,[1]!rng_ForecastRowLookup,0),MATCH(W$11,[1]!rng_ForecastColumnLookup,0))</f>
        <v>1949.296705787131</v>
      </c>
      <c r="X14" s="35">
        <f ca="1">INDEX([1]!tbl_Forecast,MATCH($D$8&amp;$C14&amp;$D$7,[1]!rng_ForecastRowLookup,0),MATCH(X$11,[1]!rng_ForecastColumnLookup,0))</f>
        <v>1949.5267750605763</v>
      </c>
      <c r="Y14" s="35"/>
      <c r="AA14" s="35">
        <f t="shared" ref="AA14" ca="1" si="1">SUM(E14:Y14)</f>
        <v>38891.88615857609</v>
      </c>
    </row>
    <row r="15" spans="1:69">
      <c r="E15" s="35"/>
      <c r="F15" s="35"/>
      <c r="G15" s="35"/>
      <c r="H15" s="35"/>
      <c r="I15" s="35"/>
      <c r="J15" s="35"/>
      <c r="K15" s="35"/>
      <c r="L15" s="35"/>
      <c r="M15" s="35"/>
      <c r="N15" s="35"/>
      <c r="O15" s="35"/>
      <c r="P15" s="35"/>
      <c r="Q15" s="35"/>
      <c r="R15" s="35"/>
      <c r="S15" s="35"/>
      <c r="T15" s="35"/>
      <c r="U15" s="35"/>
      <c r="V15" s="35"/>
      <c r="W15" s="35"/>
      <c r="X15" s="35"/>
      <c r="Y15" s="35"/>
    </row>
    <row r="16" spans="1:69">
      <c r="B16" s="7" t="s">
        <v>141</v>
      </c>
      <c r="C16" s="7" t="s">
        <v>61</v>
      </c>
      <c r="E16" s="35">
        <f t="shared" ref="E16:X16" ca="1" si="2">SUM(E13:E14)</f>
        <v>64555.334405092588</v>
      </c>
      <c r="F16" s="35">
        <f t="shared" ca="1" si="2"/>
        <v>61843.577305941362</v>
      </c>
      <c r="G16" s="35">
        <f t="shared" ca="1" si="2"/>
        <v>58783.146023598252</v>
      </c>
      <c r="H16" s="35">
        <f t="shared" ca="1" si="2"/>
        <v>57006.389360864625</v>
      </c>
      <c r="I16" s="35">
        <f t="shared" ca="1" si="2"/>
        <v>55466.980171008734</v>
      </c>
      <c r="J16" s="35">
        <f t="shared" ca="1" si="2"/>
        <v>52910.6264356213</v>
      </c>
      <c r="K16" s="35">
        <f t="shared" ca="1" si="2"/>
        <v>51496.633117021142</v>
      </c>
      <c r="L16" s="35">
        <f t="shared" ca="1" si="2"/>
        <v>51270.380235675897</v>
      </c>
      <c r="M16" s="35">
        <f t="shared" ca="1" si="2"/>
        <v>50772.309890631652</v>
      </c>
      <c r="N16" s="35">
        <f t="shared" ca="1" si="2"/>
        <v>51641.026201803892</v>
      </c>
      <c r="O16" s="35">
        <f t="shared" ca="1" si="2"/>
        <v>51977.340841960438</v>
      </c>
      <c r="P16" s="35">
        <f t="shared" ca="1" si="2"/>
        <v>51332.916453785721</v>
      </c>
      <c r="Q16" s="35">
        <f t="shared" ca="1" si="2"/>
        <v>50027.262290146457</v>
      </c>
      <c r="R16" s="35">
        <f t="shared" ca="1" si="2"/>
        <v>50079.125985667342</v>
      </c>
      <c r="S16" s="35">
        <f t="shared" ca="1" si="2"/>
        <v>50641.346110665923</v>
      </c>
      <c r="T16" s="35">
        <f t="shared" ca="1" si="2"/>
        <v>50432.680647338297</v>
      </c>
      <c r="U16" s="35">
        <f t="shared" ca="1" si="2"/>
        <v>48827.491388260692</v>
      </c>
      <c r="V16" s="35">
        <f t="shared" ca="1" si="2"/>
        <v>48747.48281264407</v>
      </c>
      <c r="W16" s="35">
        <f t="shared" ca="1" si="2"/>
        <v>48866.923705787129</v>
      </c>
      <c r="X16" s="35">
        <f t="shared" ca="1" si="2"/>
        <v>49185.671775060575</v>
      </c>
      <c r="Y16" s="35"/>
      <c r="AA16" s="35">
        <f ca="1">SUM(E16:Y16)</f>
        <v>1055864.6451585761</v>
      </c>
    </row>
    <row r="17" spans="1:27">
      <c r="E17" s="35"/>
      <c r="F17" s="35"/>
      <c r="G17" s="35"/>
      <c r="H17" s="35"/>
      <c r="I17" s="35"/>
      <c r="J17" s="35"/>
      <c r="K17" s="35"/>
      <c r="L17" s="35"/>
      <c r="M17" s="35"/>
      <c r="N17" s="35"/>
      <c r="O17" s="35"/>
      <c r="P17" s="35"/>
      <c r="Q17" s="35"/>
      <c r="R17" s="35"/>
      <c r="S17" s="35"/>
      <c r="T17" s="35"/>
      <c r="U17" s="35"/>
      <c r="V17" s="35"/>
      <c r="W17" s="35"/>
      <c r="X17" s="35"/>
      <c r="Y17" s="35"/>
    </row>
    <row r="18" spans="1:27">
      <c r="E18" s="35"/>
      <c r="F18" s="35"/>
      <c r="G18" s="35"/>
      <c r="H18" s="35"/>
      <c r="I18" s="35"/>
      <c r="J18" s="35"/>
      <c r="K18" s="35"/>
      <c r="L18" s="35"/>
      <c r="M18" s="35"/>
      <c r="N18" s="35"/>
      <c r="O18" s="35"/>
      <c r="P18" s="35"/>
      <c r="Q18" s="35"/>
      <c r="R18" s="35"/>
      <c r="S18" s="35"/>
      <c r="T18" s="35"/>
      <c r="U18" s="35"/>
      <c r="V18" s="35"/>
      <c r="W18" s="35"/>
      <c r="X18" s="35"/>
      <c r="Y18" s="35"/>
    </row>
    <row r="19" spans="1:27" ht="15">
      <c r="A19" s="56" t="str">
        <f>CONCATENATE("# HOMES APPLICABLE BY YEAR FOR MEASURE - ",C20)</f>
        <v># HOMES APPLICABLE BY YEAR FOR MEASURE - HPWH - New</v>
      </c>
      <c r="E19" s="35"/>
      <c r="F19" s="35"/>
      <c r="G19" s="35"/>
      <c r="H19" s="35"/>
      <c r="I19" s="35"/>
      <c r="J19" s="35"/>
      <c r="K19" s="35"/>
      <c r="L19" s="35"/>
      <c r="M19" s="35"/>
      <c r="N19" s="35"/>
      <c r="O19" s="35"/>
      <c r="P19" s="35"/>
      <c r="Q19" s="35"/>
      <c r="R19" s="35"/>
      <c r="S19" s="35"/>
      <c r="T19" s="35"/>
      <c r="U19" s="35"/>
      <c r="V19" s="35"/>
      <c r="W19" s="35"/>
      <c r="X19" s="35"/>
      <c r="Y19" s="35"/>
    </row>
    <row r="20" spans="1:27" ht="15">
      <c r="A20" s="65" t="s">
        <v>62</v>
      </c>
      <c r="B20" s="65" t="s">
        <v>469</v>
      </c>
      <c r="C20" s="65" t="str">
        <f>CONCATENATE(C8," - ",C7)</f>
        <v>HPWH - New</v>
      </c>
      <c r="D20" s="65"/>
    </row>
    <row r="21" spans="1:27">
      <c r="A21" s="57">
        <f>INDEX([2]!ResApplic,MATCH($C$20,[2]APPLIC!$B$9:$B$120,0)+1,MATCH($C21,[2]APPLIC!$C$8:$F$8,0)+1)</f>
        <v>0.94904999999999995</v>
      </c>
      <c r="B21" s="57">
        <f>VLOOKUP('SC-New'!$C21,'HVAC weighting'!$A$16:$B$20,2,FALSE)</f>
        <v>0.55200000000000005</v>
      </c>
      <c r="C21" s="7" t="str">
        <f>C13</f>
        <v>Single Family</v>
      </c>
      <c r="E21" s="35">
        <f ca="1">E13*$A21*$B21</f>
        <v>32839.539607580402</v>
      </c>
      <c r="F21" s="35">
        <f t="shared" ref="F21:X22" ca="1" si="3">F13*$A21*$B21</f>
        <v>31412.513998443599</v>
      </c>
      <c r="G21" s="35">
        <f t="shared" ca="1" si="3"/>
        <v>29773.952136907203</v>
      </c>
      <c r="H21" s="35">
        <f t="shared" ca="1" si="3"/>
        <v>28805.4009739908</v>
      </c>
      <c r="I21" s="35">
        <f t="shared" ca="1" si="3"/>
        <v>28031.260046234402</v>
      </c>
      <c r="J21" s="35">
        <f t="shared" ca="1" si="3"/>
        <v>26708.252032979999</v>
      </c>
      <c r="K21" s="35">
        <f t="shared" ca="1" si="3"/>
        <v>25964.1490843764</v>
      </c>
      <c r="L21" s="35">
        <f t="shared" ca="1" si="3"/>
        <v>25839.911461960797</v>
      </c>
      <c r="M21" s="35">
        <f t="shared" ca="1" si="3"/>
        <v>25573.390798212</v>
      </c>
      <c r="N21" s="35">
        <f t="shared" ca="1" si="3"/>
        <v>26027.843451451201</v>
      </c>
      <c r="O21" s="35">
        <f t="shared" ca="1" si="3"/>
        <v>26209.568038957204</v>
      </c>
      <c r="P21" s="35">
        <f t="shared" ca="1" si="3"/>
        <v>25873.043974282802</v>
      </c>
      <c r="Q21" s="35">
        <f t="shared" ca="1" si="3"/>
        <v>25187.596233357599</v>
      </c>
      <c r="R21" s="35">
        <f t="shared" ca="1" si="3"/>
        <v>25213.6354700556</v>
      </c>
      <c r="S21" s="35">
        <f t="shared" ca="1" si="3"/>
        <v>25507.801049216403</v>
      </c>
      <c r="T21" s="35">
        <f t="shared" ca="1" si="3"/>
        <v>25398.989467718398</v>
      </c>
      <c r="U21" s="35">
        <f t="shared" ca="1" si="3"/>
        <v>24558.764776275599</v>
      </c>
      <c r="V21" s="35">
        <f t="shared" ca="1" si="3"/>
        <v>24516.737904016802</v>
      </c>
      <c r="W21" s="35">
        <f t="shared" ca="1" si="3"/>
        <v>24578.9999952012</v>
      </c>
      <c r="X21" s="35">
        <f t="shared" ca="1" si="3"/>
        <v>24745.863803561999</v>
      </c>
      <c r="Y21" s="35"/>
      <c r="AA21" s="35">
        <f t="shared" ref="AA21:AA22" ca="1" si="4">SUM(E21:Y21)</f>
        <v>532767.21430478047</v>
      </c>
    </row>
    <row r="22" spans="1:27">
      <c r="A22" s="57">
        <f>INDEX([2]!ResApplic,MATCH($C$20,[2]APPLIC!$B$9:$B$120,0)+1,MATCH($C22,[2]APPLIC!$C$8:$F$8,0)+1)</f>
        <v>0.95</v>
      </c>
      <c r="B22" s="57">
        <f>VLOOKUP('SC-New'!$C22,'HVAC weighting'!$A$16:$B$20,2,FALSE)</f>
        <v>0.88900000000000001</v>
      </c>
      <c r="C22" t="s">
        <v>53</v>
      </c>
      <c r="D22"/>
      <c r="E22" s="35">
        <f ca="1">E14*$A22*$B22</f>
        <v>1578.9499083709488</v>
      </c>
      <c r="F22" s="35">
        <f t="shared" ca="1" si="3"/>
        <v>1589.2710701827739</v>
      </c>
      <c r="G22" s="35">
        <f t="shared" ca="1" si="3"/>
        <v>1646.1411396299027</v>
      </c>
      <c r="H22" s="35">
        <f t="shared" ca="1" si="3"/>
        <v>1707.0013865682197</v>
      </c>
      <c r="I22" s="35">
        <f t="shared" ca="1" si="3"/>
        <v>1654.9009367254234</v>
      </c>
      <c r="J22" s="35">
        <f t="shared" ca="1" si="3"/>
        <v>1628.7792287039661</v>
      </c>
      <c r="K22" s="35">
        <f t="shared" ca="1" si="3"/>
        <v>1634.1739450302057</v>
      </c>
      <c r="L22" s="35">
        <f t="shared" ca="1" si="3"/>
        <v>1643.3779511400821</v>
      </c>
      <c r="M22" s="35">
        <f t="shared" ca="1" si="3"/>
        <v>1652.3957646329666</v>
      </c>
      <c r="N22" s="35">
        <f t="shared" ca="1" si="3"/>
        <v>1653.4382021334773</v>
      </c>
      <c r="O22" s="35">
        <f t="shared" ca="1" si="3"/>
        <v>1644.5110047276867</v>
      </c>
      <c r="P22" s="35">
        <f t="shared" ca="1" si="3"/>
        <v>1642.7793493947306</v>
      </c>
      <c r="Q22" s="35">
        <f t="shared" ca="1" si="3"/>
        <v>1645.1127028431915</v>
      </c>
      <c r="R22" s="35">
        <f t="shared" ca="1" si="3"/>
        <v>1646.9358291453557</v>
      </c>
      <c r="S22" s="35">
        <f t="shared" ca="1" si="3"/>
        <v>1647.5288088129018</v>
      </c>
      <c r="T22" s="35">
        <f t="shared" ca="1" si="3"/>
        <v>1646.7176495095573</v>
      </c>
      <c r="U22" s="35">
        <f t="shared" ca="1" si="3"/>
        <v>1645.5975574055706</v>
      </c>
      <c r="V22" s="35">
        <f t="shared" ca="1" si="3"/>
        <v>1645.7786495185517</v>
      </c>
      <c r="W22" s="35">
        <f t="shared" ca="1" si="3"/>
        <v>1646.2785328725215</v>
      </c>
      <c r="X22" s="35">
        <f t="shared" ca="1" si="3"/>
        <v>1646.4728378774098</v>
      </c>
      <c r="Y22" s="35"/>
      <c r="AA22" s="35">
        <f t="shared" ca="1" si="4"/>
        <v>32846.142455225447</v>
      </c>
    </row>
    <row r="23" spans="1:27">
      <c r="E23" s="35"/>
      <c r="F23" s="35"/>
      <c r="G23" s="35"/>
      <c r="H23" s="35"/>
      <c r="I23" s="35"/>
      <c r="J23" s="35"/>
      <c r="K23" s="35"/>
      <c r="L23" s="35"/>
      <c r="M23" s="35"/>
      <c r="N23" s="35"/>
      <c r="O23" s="35"/>
      <c r="P23" s="35"/>
      <c r="Q23" s="35"/>
      <c r="R23" s="35"/>
      <c r="S23" s="35"/>
      <c r="T23" s="35"/>
      <c r="U23" s="35"/>
      <c r="V23" s="35"/>
      <c r="W23" s="35"/>
      <c r="X23" s="35"/>
      <c r="Y23" s="35"/>
    </row>
    <row r="24" spans="1:27">
      <c r="E24" s="35">
        <f t="shared" ref="E24:X24" ca="1" si="5">SUM(E21:E22)</f>
        <v>34418.489515951354</v>
      </c>
      <c r="F24" s="35">
        <f t="shared" ca="1" si="5"/>
        <v>33001.78506862637</v>
      </c>
      <c r="G24" s="35">
        <f t="shared" ca="1" si="5"/>
        <v>31420.093276537104</v>
      </c>
      <c r="H24" s="35">
        <f t="shared" ca="1" si="5"/>
        <v>30512.402360559019</v>
      </c>
      <c r="I24" s="35">
        <f t="shared" ca="1" si="5"/>
        <v>29686.160982959824</v>
      </c>
      <c r="J24" s="35">
        <f t="shared" ca="1" si="5"/>
        <v>28337.031261683966</v>
      </c>
      <c r="K24" s="35">
        <f t="shared" ca="1" si="5"/>
        <v>27598.323029406605</v>
      </c>
      <c r="L24" s="35">
        <f t="shared" ca="1" si="5"/>
        <v>27483.28941310088</v>
      </c>
      <c r="M24" s="35">
        <f t="shared" ca="1" si="5"/>
        <v>27225.786562844965</v>
      </c>
      <c r="N24" s="35">
        <f t="shared" ca="1" si="5"/>
        <v>27681.28165358468</v>
      </c>
      <c r="O24" s="35">
        <f t="shared" ca="1" si="5"/>
        <v>27854.079043684891</v>
      </c>
      <c r="P24" s="35">
        <f t="shared" ca="1" si="5"/>
        <v>27515.823323677534</v>
      </c>
      <c r="Q24" s="35">
        <f t="shared" ca="1" si="5"/>
        <v>26832.70893620079</v>
      </c>
      <c r="R24" s="35">
        <f t="shared" ca="1" si="5"/>
        <v>26860.571299200958</v>
      </c>
      <c r="S24" s="35">
        <f t="shared" ca="1" si="5"/>
        <v>27155.329858029305</v>
      </c>
      <c r="T24" s="35">
        <f t="shared" ca="1" si="5"/>
        <v>27045.707117227954</v>
      </c>
      <c r="U24" s="35">
        <f t="shared" ca="1" si="5"/>
        <v>26204.362333681169</v>
      </c>
      <c r="V24" s="35">
        <f t="shared" ca="1" si="5"/>
        <v>26162.516553535352</v>
      </c>
      <c r="W24" s="35">
        <f t="shared" ca="1" si="5"/>
        <v>26225.278528073723</v>
      </c>
      <c r="X24" s="35">
        <f t="shared" ca="1" si="5"/>
        <v>26392.336641439408</v>
      </c>
      <c r="Y24" s="35"/>
      <c r="AA24" s="35">
        <f ca="1">SUM(E24:Y24)</f>
        <v>565613.3567600057</v>
      </c>
    </row>
    <row r="25" spans="1:27">
      <c r="E25" s="35"/>
      <c r="F25" s="35"/>
      <c r="G25" s="35"/>
      <c r="H25" s="35"/>
      <c r="I25" s="35"/>
      <c r="J25" s="35"/>
      <c r="K25" s="35"/>
      <c r="L25" s="35"/>
      <c r="M25" s="35"/>
      <c r="N25" s="35"/>
      <c r="O25" s="35"/>
      <c r="P25" s="35"/>
      <c r="Q25" s="35"/>
      <c r="R25" s="35"/>
      <c r="S25" s="35"/>
      <c r="T25" s="35"/>
      <c r="U25" s="35"/>
      <c r="V25" s="35"/>
      <c r="W25" s="35"/>
      <c r="X25" s="35"/>
      <c r="Y25" s="35"/>
    </row>
    <row r="27" spans="1:27" ht="15.75" thickBot="1">
      <c r="A27" s="56" t="str">
        <f>CONCATENATE("# UNITS ACHIEVABLE BY YEAR FOR MEASURE - ",D28)</f>
        <v># UNITS ACHIEVABLE BY YEAR FOR MEASURE - HPWH - New</v>
      </c>
      <c r="D27" s="65" t="s">
        <v>64</v>
      </c>
      <c r="E27" s="7">
        <v>2</v>
      </c>
      <c r="F27" s="7">
        <v>3</v>
      </c>
      <c r="G27" s="7">
        <v>4</v>
      </c>
      <c r="H27" s="7">
        <v>5</v>
      </c>
      <c r="I27" s="7">
        <v>6</v>
      </c>
      <c r="J27" s="7">
        <v>7</v>
      </c>
      <c r="K27" s="7">
        <v>8</v>
      </c>
      <c r="L27" s="7">
        <v>9</v>
      </c>
      <c r="M27" s="7">
        <v>10</v>
      </c>
      <c r="N27" s="7">
        <v>11</v>
      </c>
      <c r="O27" s="7">
        <v>12</v>
      </c>
      <c r="P27" s="7">
        <v>13</v>
      </c>
      <c r="Q27" s="7">
        <v>14</v>
      </c>
      <c r="R27" s="7">
        <v>15</v>
      </c>
      <c r="S27" s="7">
        <v>16</v>
      </c>
      <c r="T27" s="7">
        <v>17</v>
      </c>
      <c r="U27" s="7">
        <v>18</v>
      </c>
      <c r="V27" s="7">
        <v>19</v>
      </c>
      <c r="W27" s="7">
        <v>20</v>
      </c>
      <c r="X27" s="7">
        <v>21</v>
      </c>
    </row>
    <row r="28" spans="1:27" ht="15.75" thickBot="1">
      <c r="D28" s="65" t="str">
        <f>CONCATENATE(C8," - ",C7)</f>
        <v>HPWH - New</v>
      </c>
      <c r="E28" s="69">
        <f>VLOOKUP($D$28,[2]ACHIEV!$B$10:$X$76,MATCH(E$11,$E$11:$Y$11,0)+2,FALSE)</f>
        <v>5.5320496977002724E-3</v>
      </c>
      <c r="F28" s="69">
        <f>VLOOKUP($D$28,[2]ACHIEV!$B$10:$X$76,MATCH(F$11,$E$11:$Y$11,0)+2,FALSE)</f>
        <v>1.4227918344261844E-2</v>
      </c>
      <c r="G28" s="69">
        <f>VLOOKUP($D$28,[2]ACHIEV!$B$10:$X$76,MATCH(G$11,$E$11:$Y$11,0)+2,FALSE)</f>
        <v>3.1619655637384989E-2</v>
      </c>
      <c r="H28" s="69">
        <f>VLOOKUP($D$28,[2]ACHIEV!$B$10:$X$76,MATCH(H$11,$E$11:$Y$11,0)+2,FALSE)</f>
        <v>6.2055195900350503E-2</v>
      </c>
      <c r="I28" s="69">
        <f>VLOOKUP($D$28,[2]ACHIEV!$B$10:$X$76,MATCH(I$11,$E$11:$Y$11,0)+2,FALSE)</f>
        <v>0.10939936964274129</v>
      </c>
      <c r="J28" s="69">
        <f>VLOOKUP($D$28,[2]ACHIEV!$B$10:$X$76,MATCH(J$11,$E$11:$Y$11,0)+2,FALSE)</f>
        <v>0.17568121288208835</v>
      </c>
      <c r="K28" s="69">
        <f>VLOOKUP($D$28,[2]ACHIEV!$B$10:$X$76,MATCH(K$11,$E$11:$Y$11,0)+2,FALSE)</f>
        <v>0.26003992245943919</v>
      </c>
      <c r="L28" s="69">
        <f>VLOOKUP($D$28,[2]ACHIEV!$B$10:$X$76,MATCH(L$11,$E$11:$Y$11,0)+2,FALSE)</f>
        <v>0.3584584169663485</v>
      </c>
      <c r="M28" s="69">
        <f>VLOOKUP($D$28,[2]ACHIEV!$B$10:$X$76,MATCH(M$11,$E$11:$Y$11,0)+2,FALSE)</f>
        <v>0.46444756489686617</v>
      </c>
      <c r="N28" s="69">
        <f>VLOOKUP($D$28,[2]ACHIEV!$B$10:$X$76,MATCH(N$11,$E$11:$Y$11,0)+2,FALSE)</f>
        <v>0.57043671282738384</v>
      </c>
      <c r="O28" s="69">
        <f>VLOOKUP($D$28,[2]ACHIEV!$B$10:$X$76,MATCH(O$11,$E$11:$Y$11,0)+2,FALSE)</f>
        <v>0.66935991756253377</v>
      </c>
      <c r="P28" s="69">
        <f>VLOOKUP($D$28,[2]ACHIEV!$B$10:$X$76,MATCH(P$11,$E$11:$Y$11,0)+2,FALSE)</f>
        <v>0.75591772170578986</v>
      </c>
      <c r="Q28" s="69">
        <f>VLOOKUP($D$28,[2]ACHIEV!$B$10:$X$76,MATCH(Q$11,$E$11:$Y$11,0)+2,FALSE)</f>
        <v>0.82720061923553012</v>
      </c>
      <c r="R28" s="69">
        <f>VLOOKUP($D$28,[2]ACHIEV!$B$10:$X$76,MATCH(R$11,$E$11:$Y$11,0)+2,FALSE)</f>
        <v>0.88264287286977261</v>
      </c>
      <c r="S28" s="69">
        <f>VLOOKUP($D$28,[2]ACHIEV!$B$10:$X$76,MATCH(S$11,$E$11:$Y$11,0)+2,FALSE)</f>
        <v>0.92349505975816193</v>
      </c>
      <c r="T28" s="69">
        <f>VLOOKUP($D$28,[2]ACHIEV!$B$10:$X$76,MATCH(T$11,$E$11:$Y$11,0)+2,FALSE)</f>
        <v>0.95209159058003434</v>
      </c>
      <c r="U28" s="69">
        <f>VLOOKUP($D$28,[2]ACHIEV!$B$10:$X$76,MATCH(U$11,$E$11:$Y$11,0)+2,FALSE)</f>
        <v>0.97115594446128262</v>
      </c>
      <c r="V28" s="69">
        <f>VLOOKUP($D$28,[2]ACHIEV!$B$10:$X$76,MATCH(V$11,$E$11:$Y$11,0)+2,FALSE)</f>
        <v>0.98328780602207699</v>
      </c>
      <c r="W28" s="69">
        <f>VLOOKUP($D$28,[2]ACHIEV!$B$10:$X$76,MATCH(W$11,$E$11:$Y$11,0)+2,FALSE)</f>
        <v>0.99067241740690848</v>
      </c>
      <c r="X28" s="69">
        <f>VLOOKUP($D$28,[2]ACHIEV!$B$10:$X$76,MATCH(X$11,$E$11:$Y$11,0)+2,FALSE)</f>
        <v>0.99498010738139331</v>
      </c>
      <c r="Y28" s="69"/>
      <c r="AA28" s="197">
        <v>0.85</v>
      </c>
    </row>
    <row r="29" spans="1:27">
      <c r="D29" s="7" t="str">
        <f>C21</f>
        <v>Single Family</v>
      </c>
      <c r="E29" s="35">
        <f ca="1">E21*E$28*$AA$28</f>
        <v>154.4194703849216</v>
      </c>
      <c r="F29" s="35">
        <f t="shared" ref="F29:X29" ca="1" si="6">F21*F$28*$AA$28</f>
        <v>379.89448153416197</v>
      </c>
      <c r="G29" s="35">
        <f t="shared" ca="1" si="6"/>
        <v>800.22579650304033</v>
      </c>
      <c r="H29" s="35">
        <f t="shared" ca="1" si="6"/>
        <v>1519.3960803647744</v>
      </c>
      <c r="I29" s="35">
        <f t="shared" ca="1" si="6"/>
        <v>2606.6118524473322</v>
      </c>
      <c r="J29" s="35">
        <f t="shared" ca="1" si="6"/>
        <v>3988.3173944472637</v>
      </c>
      <c r="K29" s="35">
        <f t="shared" ca="1" si="6"/>
        <v>5738.9580174325747</v>
      </c>
      <c r="L29" s="35">
        <f t="shared" ca="1" si="6"/>
        <v>7873.153693624311</v>
      </c>
      <c r="M29" s="35">
        <f t="shared" ca="1" si="6"/>
        <v>10095.874220027665</v>
      </c>
      <c r="N29" s="35">
        <f t="shared" ca="1" si="6"/>
        <v>12620.151841366836</v>
      </c>
      <c r="O29" s="35">
        <f t="shared" ca="1" si="6"/>
        <v>14912.089156620112</v>
      </c>
      <c r="P29" s="35">
        <f t="shared" ca="1" si="6"/>
        <v>16624.208586438534</v>
      </c>
      <c r="Q29" s="35">
        <f t="shared" ca="1" si="6"/>
        <v>17709.915921094725</v>
      </c>
      <c r="R29" s="35">
        <f t="shared" ca="1" si="6"/>
        <v>18916.440299763912</v>
      </c>
      <c r="S29" s="35">
        <f t="shared" ca="1" si="6"/>
        <v>20022.879016108596</v>
      </c>
      <c r="T29" s="35">
        <f t="shared" ca="1" si="6"/>
        <v>20554.839639228714</v>
      </c>
      <c r="U29" s="35">
        <f t="shared" ca="1" si="6"/>
        <v>20272.831840940446</v>
      </c>
      <c r="V29" s="35">
        <f t="shared" ca="1" si="6"/>
        <v>20490.958010790127</v>
      </c>
      <c r="W29" s="35">
        <f t="shared" ca="1" si="6"/>
        <v>20697.276741286809</v>
      </c>
      <c r="X29" s="35">
        <f t="shared" ca="1" si="6"/>
        <v>20928.395890836433</v>
      </c>
      <c r="Y29" s="35"/>
      <c r="AA29" s="35">
        <f t="shared" ref="AA29:AA30" ca="1" si="7">SUM(E29:Y29)</f>
        <v>236906.83795124124</v>
      </c>
    </row>
    <row r="30" spans="1:27">
      <c r="D30" s="7" t="str">
        <f>C22</f>
        <v>Manufactured</v>
      </c>
      <c r="E30" s="35">
        <f t="shared" ref="E30:X30" ca="1" si="8">E22*E$28*$AA$28</f>
        <v>7.4246049587942728</v>
      </c>
      <c r="F30" s="35">
        <f t="shared" ca="1" si="8"/>
        <v>19.220216161439421</v>
      </c>
      <c r="G30" s="35">
        <f t="shared" ca="1" si="8"/>
        <v>44.242853570785499</v>
      </c>
      <c r="H30" s="35">
        <f t="shared" ca="1" si="8"/>
        <v>90.039059628811685</v>
      </c>
      <c r="I30" s="35">
        <f t="shared" ca="1" si="8"/>
        <v>153.88835140410188</v>
      </c>
      <c r="J30" s="35">
        <f t="shared" ca="1" si="8"/>
        <v>243.22402385348533</v>
      </c>
      <c r="K30" s="35">
        <f t="shared" ca="1" si="8"/>
        <v>361.20789605825695</v>
      </c>
      <c r="L30" s="35">
        <f t="shared" ca="1" si="8"/>
        <v>500.72026001661374</v>
      </c>
      <c r="M30" s="35">
        <f t="shared" ca="1" si="8"/>
        <v>652.33351076022507</v>
      </c>
      <c r="N30" s="35">
        <f t="shared" ca="1" si="8"/>
        <v>801.7045749550042</v>
      </c>
      <c r="O30" s="35">
        <f t="shared" ca="1" si="8"/>
        <v>935.65428797192328</v>
      </c>
      <c r="P30" s="35">
        <f t="shared" ca="1" si="8"/>
        <v>1055.5351196008169</v>
      </c>
      <c r="Q30" s="35">
        <f t="shared" ca="1" si="8"/>
        <v>1156.712509528506</v>
      </c>
      <c r="R30" s="35">
        <f t="shared" ca="1" si="8"/>
        <v>1235.6077459186652</v>
      </c>
      <c r="S30" s="35">
        <f t="shared" ca="1" si="8"/>
        <v>1293.2620083857696</v>
      </c>
      <c r="T30" s="35">
        <f t="shared" ca="1" si="8"/>
        <v>1332.6521222341044</v>
      </c>
      <c r="U30" s="35">
        <f t="shared" ca="1" si="8"/>
        <v>1358.4120725555786</v>
      </c>
      <c r="V30" s="35">
        <f t="shared" ca="1" si="8"/>
        <v>1375.5329658606124</v>
      </c>
      <c r="W30" s="35">
        <f t="shared" ca="1" si="8"/>
        <v>1386.2843238030316</v>
      </c>
      <c r="X30" s="35">
        <f t="shared" ca="1" si="8"/>
        <v>1392.4765628770406</v>
      </c>
      <c r="Y30" s="35"/>
      <c r="AA30" s="35">
        <f t="shared" ca="1" si="7"/>
        <v>15396.135070103564</v>
      </c>
    </row>
    <row r="31" spans="1:27">
      <c r="E31" s="35"/>
      <c r="F31" s="35"/>
      <c r="G31" s="35"/>
      <c r="H31" s="35"/>
      <c r="I31" s="35"/>
      <c r="J31" s="35"/>
      <c r="K31" s="35"/>
      <c r="L31" s="35"/>
      <c r="M31" s="35"/>
      <c r="N31" s="35"/>
      <c r="O31" s="35"/>
      <c r="P31" s="35"/>
      <c r="Q31" s="35"/>
      <c r="R31" s="35"/>
      <c r="S31" s="35"/>
      <c r="T31" s="35"/>
      <c r="U31" s="35"/>
      <c r="V31" s="35"/>
      <c r="W31" s="35"/>
      <c r="X31" s="35"/>
      <c r="Y31" s="35"/>
    </row>
    <row r="32" spans="1:27">
      <c r="E32" s="35">
        <f t="shared" ref="E32:X32" ca="1" si="9">SUM(E29:E30)</f>
        <v>161.84407534371587</v>
      </c>
      <c r="F32" s="35">
        <f t="shared" ca="1" si="9"/>
        <v>399.11469769560136</v>
      </c>
      <c r="G32" s="35">
        <f t="shared" ca="1" si="9"/>
        <v>844.46865007382587</v>
      </c>
      <c r="H32" s="35">
        <f t="shared" ca="1" si="9"/>
        <v>1609.4351399935861</v>
      </c>
      <c r="I32" s="35">
        <f t="shared" ca="1" si="9"/>
        <v>2760.500203851434</v>
      </c>
      <c r="J32" s="35">
        <f t="shared" ca="1" si="9"/>
        <v>4231.5414183007488</v>
      </c>
      <c r="K32" s="35">
        <f t="shared" ca="1" si="9"/>
        <v>6100.1659134908314</v>
      </c>
      <c r="L32" s="35">
        <f t="shared" ca="1" si="9"/>
        <v>8373.8739536409248</v>
      </c>
      <c r="M32" s="35">
        <f t="shared" ca="1" si="9"/>
        <v>10748.20773078789</v>
      </c>
      <c r="N32" s="35">
        <f t="shared" ca="1" si="9"/>
        <v>13421.85641632184</v>
      </c>
      <c r="O32" s="35">
        <f t="shared" ca="1" si="9"/>
        <v>15847.743444592035</v>
      </c>
      <c r="P32" s="35">
        <f t="shared" ca="1" si="9"/>
        <v>17679.743706039349</v>
      </c>
      <c r="Q32" s="35">
        <f t="shared" ca="1" si="9"/>
        <v>18866.62843062323</v>
      </c>
      <c r="R32" s="35">
        <f t="shared" ca="1" si="9"/>
        <v>20152.048045682575</v>
      </c>
      <c r="S32" s="35">
        <f t="shared" ca="1" si="9"/>
        <v>21316.141024494365</v>
      </c>
      <c r="T32" s="35">
        <f t="shared" ca="1" si="9"/>
        <v>21887.491761462818</v>
      </c>
      <c r="U32" s="35">
        <f t="shared" ca="1" si="9"/>
        <v>21631.243913496022</v>
      </c>
      <c r="V32" s="35">
        <f t="shared" ca="1" si="9"/>
        <v>21866.490976650741</v>
      </c>
      <c r="W32" s="35">
        <f t="shared" ca="1" si="9"/>
        <v>22083.561065089842</v>
      </c>
      <c r="X32" s="35">
        <f t="shared" ca="1" si="9"/>
        <v>22320.872453713473</v>
      </c>
      <c r="Y32" s="35"/>
      <c r="AA32" s="35">
        <f ca="1">SUM(E32:Y32)</f>
        <v>252302.97302134483</v>
      </c>
    </row>
    <row r="34" spans="1:80">
      <c r="AA34"/>
      <c r="AB34"/>
      <c r="AC34"/>
      <c r="AD34"/>
    </row>
    <row r="35" spans="1:80" ht="15">
      <c r="A35" s="56" t="s">
        <v>65</v>
      </c>
      <c r="C35" s="65" t="str">
        <f>C8</f>
        <v>HPWH</v>
      </c>
      <c r="D35" s="65"/>
      <c r="E35" s="7" t="s">
        <v>173</v>
      </c>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row>
    <row r="36" spans="1:80" ht="15">
      <c r="A36" s="65" t="s">
        <v>66</v>
      </c>
      <c r="B36" s="65" t="s">
        <v>354</v>
      </c>
      <c r="C36" s="65">
        <v>1</v>
      </c>
      <c r="D36" s="65"/>
      <c r="E36" s="59">
        <f t="shared" ref="E36:X36" si="10">E11</f>
        <v>2016</v>
      </c>
      <c r="F36" s="60">
        <f t="shared" si="10"/>
        <v>2017</v>
      </c>
      <c r="G36" s="60">
        <f t="shared" si="10"/>
        <v>2018</v>
      </c>
      <c r="H36" s="60">
        <f t="shared" si="10"/>
        <v>2019</v>
      </c>
      <c r="I36" s="60">
        <f t="shared" si="10"/>
        <v>2020</v>
      </c>
      <c r="J36" s="60">
        <f t="shared" si="10"/>
        <v>2021</v>
      </c>
      <c r="K36" s="60">
        <f t="shared" si="10"/>
        <v>2022</v>
      </c>
      <c r="L36" s="60">
        <f t="shared" si="10"/>
        <v>2023</v>
      </c>
      <c r="M36" s="60">
        <f t="shared" si="10"/>
        <v>2024</v>
      </c>
      <c r="N36" s="60">
        <f t="shared" si="10"/>
        <v>2025</v>
      </c>
      <c r="O36" s="60">
        <f t="shared" si="10"/>
        <v>2026</v>
      </c>
      <c r="P36" s="60">
        <f t="shared" si="10"/>
        <v>2027</v>
      </c>
      <c r="Q36" s="60">
        <f t="shared" si="10"/>
        <v>2028</v>
      </c>
      <c r="R36" s="60">
        <f t="shared" si="10"/>
        <v>2029</v>
      </c>
      <c r="S36" s="60">
        <f t="shared" si="10"/>
        <v>2030</v>
      </c>
      <c r="T36" s="60">
        <f t="shared" si="10"/>
        <v>2031</v>
      </c>
      <c r="U36" s="60">
        <f t="shared" si="10"/>
        <v>2032</v>
      </c>
      <c r="V36" s="60">
        <f t="shared" si="10"/>
        <v>2033</v>
      </c>
      <c r="W36" s="60">
        <f t="shared" si="10"/>
        <v>2034</v>
      </c>
      <c r="X36" s="60">
        <f t="shared" si="10"/>
        <v>2035</v>
      </c>
      <c r="Y36" s="61" t="s">
        <v>63</v>
      </c>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row>
    <row r="37" spans="1:80" ht="15">
      <c r="A37" s="65" t="s">
        <v>46</v>
      </c>
      <c r="B37" s="65" t="s">
        <v>67</v>
      </c>
      <c r="C37" s="65" t="s">
        <v>68</v>
      </c>
      <c r="D37" s="65" t="s">
        <v>69</v>
      </c>
      <c r="E37" s="62" t="str">
        <f>CONCATENATE("aMW_",E$11)</f>
        <v>aMW_2016</v>
      </c>
      <c r="F37" s="63" t="str">
        <f t="shared" ref="F37:X37" si="11">CONCATENATE("aMW_",F$11)</f>
        <v>aMW_2017</v>
      </c>
      <c r="G37" s="63" t="str">
        <f t="shared" si="11"/>
        <v>aMW_2018</v>
      </c>
      <c r="H37" s="63" t="str">
        <f t="shared" si="11"/>
        <v>aMW_2019</v>
      </c>
      <c r="I37" s="63" t="str">
        <f t="shared" si="11"/>
        <v>aMW_2020</v>
      </c>
      <c r="J37" s="63" t="str">
        <f t="shared" si="11"/>
        <v>aMW_2021</v>
      </c>
      <c r="K37" s="63" t="str">
        <f t="shared" si="11"/>
        <v>aMW_2022</v>
      </c>
      <c r="L37" s="63" t="str">
        <f t="shared" si="11"/>
        <v>aMW_2023</v>
      </c>
      <c r="M37" s="63" t="str">
        <f t="shared" si="11"/>
        <v>aMW_2024</v>
      </c>
      <c r="N37" s="63" t="str">
        <f t="shared" si="11"/>
        <v>aMW_2025</v>
      </c>
      <c r="O37" s="63" t="str">
        <f t="shared" si="11"/>
        <v>aMW_2026</v>
      </c>
      <c r="P37" s="63" t="str">
        <f t="shared" si="11"/>
        <v>aMW_2027</v>
      </c>
      <c r="Q37" s="63" t="str">
        <f t="shared" si="11"/>
        <v>aMW_2028</v>
      </c>
      <c r="R37" s="63" t="str">
        <f t="shared" si="11"/>
        <v>aMW_2029</v>
      </c>
      <c r="S37" s="63" t="str">
        <f t="shared" si="11"/>
        <v>aMW_2030</v>
      </c>
      <c r="T37" s="63" t="str">
        <f t="shared" si="11"/>
        <v>aMW_2031</v>
      </c>
      <c r="U37" s="63" t="str">
        <f t="shared" si="11"/>
        <v>aMW_2032</v>
      </c>
      <c r="V37" s="63" t="str">
        <f t="shared" si="11"/>
        <v>aMW_2033</v>
      </c>
      <c r="W37" s="63" t="str">
        <f t="shared" si="11"/>
        <v>aMW_2034</v>
      </c>
      <c r="X37" s="63" t="str">
        <f t="shared" si="11"/>
        <v>aMW_2035</v>
      </c>
      <c r="Y37" s="64" t="s">
        <v>63</v>
      </c>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row>
    <row r="38" spans="1:80">
      <c r="A38" s="58">
        <f t="shared" ref="A38:A61" si="12">VLOOKUP($D38,MeasureOutput,3,FALSE)</f>
        <v>1182.3091174891661</v>
      </c>
      <c r="B38" s="58">
        <f t="shared" ref="B38:B61" si="13">VLOOKUP($D38,MeasureOutput,11,FALSE)</f>
        <v>61.951432106144111</v>
      </c>
      <c r="C38" s="7" t="str">
        <f>IF(LEFT(D38,FIND(" ",$D38)-1)="single","Single Family",LEFT(D38,FIND(" ",$D38)-1))</f>
        <v>Manufactured</v>
      </c>
      <c r="D38" s="7" t="s">
        <v>487</v>
      </c>
      <c r="E38" s="29">
        <f ca="1">VLOOKUP($C38,$D$29:$Y$30,E$27,FALSE)*$C$36*$A38/8760/1000*88%*IF($C67="Manufactured",IF(RIGHT($D67,4)&lt;&gt;"ered",'HVAC weighting'!$G$17,'HVAC weighting'!$G$18),IF(RIGHT($D67,4)&lt;&gt;"ered",'HVAC weighting'!$G$23,'HVAC weighting'!$G$24))*IFERROR(VLOOKUP(RIGHT($D38,4),'HVAC weighting'!$A$3:$C$8,MATCH($C38,'HVAC weighting'!$B$3:$C$3,0)+1,FALSE),1)</f>
        <v>4.2783246299891276E-5</v>
      </c>
      <c r="F38" s="29">
        <f ca="1">VLOOKUP($C38,$D$29:$Y$30,F$27,FALSE)*$C$36*$A38/8760/1000*88%*IF($C67="Manufactured",IF(RIGHT($D67,4)&lt;&gt;"ered",'HVAC weighting'!$G$17,'HVAC weighting'!$G$18),IF(RIGHT($D67,4)&lt;&gt;"ered",'HVAC weighting'!$G$23,'HVAC weighting'!$G$24))*IFERROR(VLOOKUP(RIGHT($D38,4),'HVAC weighting'!$A$3:$C$8,MATCH($C38,'HVAC weighting'!$B$3:$C$3,0)+1,FALSE),1)</f>
        <v>1.1075380394454715E-4</v>
      </c>
      <c r="G38" s="29">
        <f ca="1">VLOOKUP($C38,$D$29:$Y$30,G$27,FALSE)*$C$36*$A38/8760/1000*88%*IF($C67="Manufactured",IF(RIGHT($D67,4)&lt;&gt;"ered",'HVAC weighting'!$G$17,'HVAC weighting'!$G$18),IF(RIGHT($D67,4)&lt;&gt;"ered",'HVAC weighting'!$G$23,'HVAC weighting'!$G$24))*IFERROR(VLOOKUP(RIGHT($D38,4),'HVAC weighting'!$A$3:$C$8,MATCH($C38,'HVAC weighting'!$B$3:$C$3,0)+1,FALSE),1)</f>
        <v>2.5494324773291804E-4</v>
      </c>
      <c r="H38" s="29">
        <f ca="1">VLOOKUP($C38,$D$29:$Y$30,H$27,FALSE)*$C$36*$A38/8760/1000*88%*IF($C67="Manufactured",IF(RIGHT($D67,4)&lt;&gt;"ered",'HVAC weighting'!$G$17,'HVAC weighting'!$G$18),IF(RIGHT($D67,4)&lt;&gt;"ered",'HVAC weighting'!$G$23,'HVAC weighting'!$G$24))*IFERROR(VLOOKUP(RIGHT($D38,4),'HVAC weighting'!$A$3:$C$8,MATCH($C38,'HVAC weighting'!$B$3:$C$3,0)+1,FALSE),1)</f>
        <v>5.1883747163507319E-4</v>
      </c>
      <c r="I38" s="29">
        <f ca="1">VLOOKUP($C38,$D$29:$Y$30,I$27,FALSE)*$C$36*$A38/8760/1000*88%*IF($C67="Manufactured",IF(RIGHT($D67,4)&lt;&gt;"ered",'HVAC weighting'!$G$17,'HVAC weighting'!$G$18),IF(RIGHT($D67,4)&lt;&gt;"ered",'HVAC weighting'!$G$23,'HVAC weighting'!$G$24))*IFERROR(VLOOKUP(RIGHT($D38,4),'HVAC weighting'!$A$3:$C$8,MATCH($C38,'HVAC weighting'!$B$3:$C$3,0)+1,FALSE),1)</f>
        <v>8.8676007374742548E-4</v>
      </c>
      <c r="J38" s="29">
        <f ca="1">VLOOKUP($C38,$D$29:$Y$30,J$27,FALSE)*$C$36*$A38/8760/1000*88%*IF($C67="Manufactured",IF(RIGHT($D67,4)&lt;&gt;"ered",'HVAC weighting'!$G$17,'HVAC weighting'!$G$18),IF(RIGHT($D67,4)&lt;&gt;"ered",'HVAC weighting'!$G$23,'HVAC weighting'!$G$24))*IFERROR(VLOOKUP(RIGHT($D38,4),'HVAC weighting'!$A$3:$C$8,MATCH($C38,'HVAC weighting'!$B$3:$C$3,0)+1,FALSE),1)</f>
        <v>1.4015443752665559E-3</v>
      </c>
      <c r="K38" s="29">
        <f ca="1">VLOOKUP($C38,$D$29:$Y$30,K$27,FALSE)*$C$36*$A38/8760/1000*88%*IF($C67="Manufactured",IF(RIGHT($D67,4)&lt;&gt;"ered",'HVAC weighting'!$G$17,'HVAC weighting'!$G$18),IF(RIGHT($D67,4)&lt;&gt;"ered",'HVAC weighting'!$G$23,'HVAC weighting'!$G$24))*IFERROR(VLOOKUP(RIGHT($D38,4),'HVAC weighting'!$A$3:$C$8,MATCH($C38,'HVAC weighting'!$B$3:$C$3,0)+1,FALSE),1)</f>
        <v>2.0814099158530243E-3</v>
      </c>
      <c r="L38" s="29">
        <f ca="1">VLOOKUP($C38,$D$29:$Y$30,L$27,FALSE)*$C$36*$A38/8760/1000*88%*IF($C67="Manufactured",IF(RIGHT($D67,4)&lt;&gt;"ered",'HVAC weighting'!$G$17,'HVAC weighting'!$G$18),IF(RIGHT($D67,4)&lt;&gt;"ered",'HVAC weighting'!$G$23,'HVAC weighting'!$G$24))*IFERROR(VLOOKUP(RIGHT($D38,4),'HVAC weighting'!$A$3:$C$8,MATCH($C38,'HVAC weighting'!$B$3:$C$3,0)+1,FALSE),1)</f>
        <v>2.8853303752224566E-3</v>
      </c>
      <c r="M38" s="29">
        <f ca="1">VLOOKUP($C38,$D$29:$Y$30,M$27,FALSE)*$C$36*$A38/8760/1000*88%*IF($C67="Manufactured",IF(RIGHT($D67,4)&lt;&gt;"ered",'HVAC weighting'!$G$17,'HVAC weighting'!$G$18),IF(RIGHT($D67,4)&lt;&gt;"ered",'HVAC weighting'!$G$23,'HVAC weighting'!$G$24))*IFERROR(VLOOKUP(RIGHT($D38,4),'HVAC weighting'!$A$3:$C$8,MATCH($C38,'HVAC weighting'!$B$3:$C$3,0)+1,FALSE),1)</f>
        <v>3.7589805000291607E-3</v>
      </c>
      <c r="N38" s="29">
        <f ca="1">VLOOKUP($C38,$D$29:$Y$30,N$27,FALSE)*$C$36*$A38/8760/1000*88%*IF($C67="Manufactured",IF(RIGHT($D67,4)&lt;&gt;"ered",'HVAC weighting'!$G$17,'HVAC weighting'!$G$18),IF(RIGHT($D67,4)&lt;&gt;"ered",'HVAC weighting'!$G$23,'HVAC weighting'!$G$24))*IFERROR(VLOOKUP(RIGHT($D38,4),'HVAC weighting'!$A$3:$C$8,MATCH($C38,'HVAC weighting'!$B$3:$C$3,0)+1,FALSE),1)</f>
        <v>4.6197103388541366E-3</v>
      </c>
      <c r="O38" s="29">
        <f ca="1">VLOOKUP($C38,$D$29:$Y$30,O$27,FALSE)*$C$36*$A38/8760/1000*88%*IF($C67="Manufactured",IF(RIGHT($D67,4)&lt;&gt;"ered",'HVAC weighting'!$G$17,'HVAC weighting'!$G$18),IF(RIGHT($D67,4)&lt;&gt;"ered",'HVAC weighting'!$G$23,'HVAC weighting'!$G$24))*IFERROR(VLOOKUP(RIGHT($D38,4),'HVAC weighting'!$A$3:$C$8,MATCH($C38,'HVAC weighting'!$B$3:$C$3,0)+1,FALSE),1)</f>
        <v>5.3915768011922561E-3</v>
      </c>
      <c r="P38" s="29">
        <f ca="1">VLOOKUP($C38,$D$29:$Y$30,P$27,FALSE)*$C$36*$A38/8760/1000*88%*IF($C67="Manufactured",IF(RIGHT($D67,4)&lt;&gt;"ered",'HVAC weighting'!$G$17,'HVAC weighting'!$G$18),IF(RIGHT($D67,4)&lt;&gt;"ered",'HVAC weighting'!$G$23,'HVAC weighting'!$G$24))*IFERROR(VLOOKUP(RIGHT($D38,4),'HVAC weighting'!$A$3:$C$8,MATCH($C38,'HVAC weighting'!$B$3:$C$3,0)+1,FALSE),1)</f>
        <v>6.0823733048014752E-3</v>
      </c>
      <c r="Q38" s="29">
        <f ca="1">VLOOKUP($C38,$D$29:$Y$30,Q$27,FALSE)*$C$36*$A38/8760/1000*88%*IF($C67="Manufactured",IF(RIGHT($D67,4)&lt;&gt;"ered",'HVAC weighting'!$G$17,'HVAC weighting'!$G$18),IF(RIGHT($D67,4)&lt;&gt;"ered",'HVAC weighting'!$G$23,'HVAC weighting'!$G$24))*IFERROR(VLOOKUP(RIGHT($D38,4),'HVAC weighting'!$A$3:$C$8,MATCH($C38,'HVAC weighting'!$B$3:$C$3,0)+1,FALSE),1)</f>
        <v>6.6653938449218238E-3</v>
      </c>
      <c r="R38" s="29">
        <f ca="1">VLOOKUP($C38,$D$29:$Y$30,R$27,FALSE)*$C$36*$A38/8760/1000*88%*IF($C67="Manufactured",IF(RIGHT($D67,4)&lt;&gt;"ered",'HVAC weighting'!$G$17,'HVAC weighting'!$G$18),IF(RIGHT($D67,4)&lt;&gt;"ered",'HVAC weighting'!$G$23,'HVAC weighting'!$G$24))*IFERROR(VLOOKUP(RIGHT($D38,4),'HVAC weighting'!$A$3:$C$8,MATCH($C38,'HVAC weighting'!$B$3:$C$3,0)+1,FALSE),1)</f>
        <v>7.1200165957754245E-3</v>
      </c>
      <c r="S38" s="29">
        <f ca="1">VLOOKUP($C38,$D$29:$Y$30,S$27,FALSE)*$C$36*$A38/8760/1000*88%*IF($C67="Manufactured",IF(RIGHT($D67,4)&lt;&gt;"ered",'HVAC weighting'!$G$17,'HVAC weighting'!$G$18),IF(RIGHT($D67,4)&lt;&gt;"ered",'HVAC weighting'!$G$23,'HVAC weighting'!$G$24))*IFERROR(VLOOKUP(RIGHT($D38,4),'HVAC weighting'!$A$3:$C$8,MATCH($C38,'HVAC weighting'!$B$3:$C$3,0)+1,FALSE),1)</f>
        <v>7.4522412090791976E-3</v>
      </c>
      <c r="T38" s="29">
        <f ca="1">VLOOKUP($C38,$D$29:$Y$30,T$27,FALSE)*$C$36*$A38/8760/1000*88%*IF($C67="Manufactured",IF(RIGHT($D67,4)&lt;&gt;"ered",'HVAC weighting'!$G$17,'HVAC weighting'!$G$18),IF(RIGHT($D67,4)&lt;&gt;"ered",'HVAC weighting'!$G$23,'HVAC weighting'!$G$24))*IFERROR(VLOOKUP(RIGHT($D38,4),'HVAC weighting'!$A$3:$C$8,MATCH($C38,'HVAC weighting'!$B$3:$C$3,0)+1,FALSE),1)</f>
        <v>7.6792212237610478E-3</v>
      </c>
      <c r="U38" s="29">
        <f ca="1">VLOOKUP($C38,$D$29:$Y$30,U$27,FALSE)*$C$36*$A38/8760/1000*88%*IF($C67="Manufactured",IF(RIGHT($D67,4)&lt;&gt;"ered",'HVAC weighting'!$G$17,'HVAC weighting'!$G$18),IF(RIGHT($D67,4)&lt;&gt;"ered",'HVAC weighting'!$G$23,'HVAC weighting'!$G$24))*IFERROR(VLOOKUP(RIGHT($D38,4),'HVAC weighting'!$A$3:$C$8,MATCH($C38,'HVAC weighting'!$B$3:$C$3,0)+1,FALSE),1)</f>
        <v>7.8276593299489317E-3</v>
      </c>
      <c r="V38" s="29">
        <f ca="1">VLOOKUP($C38,$D$29:$Y$30,V$27,FALSE)*$C$36*$A38/8760/1000*88%*IF($C67="Manufactured",IF(RIGHT($D67,4)&lt;&gt;"ered",'HVAC weighting'!$G$17,'HVAC weighting'!$G$18),IF(RIGHT($D67,4)&lt;&gt;"ered",'HVAC weighting'!$G$23,'HVAC weighting'!$G$24))*IFERROR(VLOOKUP(RIGHT($D38,4),'HVAC weighting'!$A$3:$C$8,MATCH($C38,'HVAC weighting'!$B$3:$C$3,0)+1,FALSE),1)</f>
        <v>7.926316079932081E-3</v>
      </c>
      <c r="W38" s="29">
        <f ca="1">VLOOKUP($C38,$D$29:$Y$30,W$27,FALSE)*$C$36*$A38/8760/1000*88%*IF($C67="Manufactured",IF(RIGHT($D67,4)&lt;&gt;"ered",'HVAC weighting'!$G$17,'HVAC weighting'!$G$18),IF(RIGHT($D67,4)&lt;&gt;"ered",'HVAC weighting'!$G$23,'HVAC weighting'!$G$24))*IFERROR(VLOOKUP(RIGHT($D38,4),'HVAC weighting'!$A$3:$C$8,MATCH($C38,'HVAC weighting'!$B$3:$C$3,0)+1,FALSE),1)</f>
        <v>7.9882692744066217E-3</v>
      </c>
      <c r="X38" s="29">
        <f ca="1">VLOOKUP($C38,$D$29:$Y$30,X$27,FALSE)*$C$36*$A38/8760/1000*88%*IF($C67="Manufactured",IF(RIGHT($D67,4)&lt;&gt;"ered",'HVAC weighting'!$G$17,'HVAC weighting'!$G$18),IF(RIGHT($D67,4)&lt;&gt;"ered",'HVAC weighting'!$G$23,'HVAC weighting'!$G$24))*IFERROR(VLOOKUP(RIGHT($D38,4),'HVAC weighting'!$A$3:$C$8,MATCH($C38,'HVAC weighting'!$B$3:$C$3,0)+1,FALSE),1)</f>
        <v>8.0239511848815125E-3</v>
      </c>
      <c r="Y38" s="29">
        <f ca="1">SUM(E38:X38)</f>
        <v>8.8718072197285544E-2</v>
      </c>
      <c r="AA38" s="35">
        <f ca="1">SUM(E38:X38)</f>
        <v>8.8718072197285544E-2</v>
      </c>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row>
    <row r="39" spans="1:80">
      <c r="A39" s="58">
        <f t="shared" si="12"/>
        <v>1178.5826717098373</v>
      </c>
      <c r="B39" s="58">
        <f t="shared" si="13"/>
        <v>62.140138137376972</v>
      </c>
      <c r="C39" s="7" t="str">
        <f t="shared" ref="C39:C55" si="14">IF(LEFT(D39,FIND(" ",$D39)-1)="single","Single Family",LEFT(D39,FIND(" ",$D39)-1))</f>
        <v>Single Family</v>
      </c>
      <c r="D39" s="7" t="s">
        <v>475</v>
      </c>
      <c r="E39" s="29">
        <f ca="1">VLOOKUP($C39,$D$29:$Y$30,E$27,FALSE)*$C$36*$A39/8760/1000*88%*IF($C68="Manufactured",IF(RIGHT($D68,4)&lt;&gt;"ered",'HVAC weighting'!$G$17,'HVAC weighting'!$G$18),IF(RIGHT($D68,4)&lt;&gt;"ered",'HVAC weighting'!$G$23,'HVAC weighting'!$G$24))*IFERROR(VLOOKUP(RIGHT($D39,4),'HVAC weighting'!$A$3:$C$8,MATCH($C39,'HVAC weighting'!$B$3:$C$3,0)+1,FALSE),1)</f>
        <v>9.4931212711475981E-4</v>
      </c>
      <c r="F39" s="29">
        <f ca="1">VLOOKUP($C39,$D$29:$Y$30,F$27,FALSE)*$C$36*$A39/8760/1000*88%*IF($C68="Manufactured",IF(RIGHT($D68,4)&lt;&gt;"ered",'HVAC weighting'!$G$17,'HVAC weighting'!$G$18),IF(RIGHT($D68,4)&lt;&gt;"ered",'HVAC weighting'!$G$23,'HVAC weighting'!$G$24))*IFERROR(VLOOKUP(RIGHT($D39,4),'HVAC weighting'!$A$3:$C$8,MATCH($C39,'HVAC weighting'!$B$3:$C$3,0)+1,FALSE),1)</f>
        <v>2.3354466729188388E-3</v>
      </c>
      <c r="G39" s="29">
        <f ca="1">VLOOKUP($C39,$D$29:$Y$30,G$27,FALSE)*$C$36*$A39/8760/1000*88%*IF($C68="Manufactured",IF(RIGHT($D68,4)&lt;&gt;"ered",'HVAC weighting'!$G$17,'HVAC weighting'!$G$18),IF(RIGHT($D68,4)&lt;&gt;"ered",'HVAC weighting'!$G$23,'HVAC weighting'!$G$24))*IFERROR(VLOOKUP(RIGHT($D39,4),'HVAC weighting'!$A$3:$C$8,MATCH($C39,'HVAC weighting'!$B$3:$C$3,0)+1,FALSE),1)</f>
        <v>4.9194836062886951E-3</v>
      </c>
      <c r="H39" s="29">
        <f ca="1">VLOOKUP($C39,$D$29:$Y$30,H$27,FALSE)*$C$36*$A39/8760/1000*88%*IF($C68="Manufactured",IF(RIGHT($D68,4)&lt;&gt;"ered",'HVAC weighting'!$G$17,'HVAC weighting'!$G$18),IF(RIGHT($D68,4)&lt;&gt;"ered",'HVAC weighting'!$G$23,'HVAC weighting'!$G$24))*IFERROR(VLOOKUP(RIGHT($D39,4),'HVAC weighting'!$A$3:$C$8,MATCH($C39,'HVAC weighting'!$B$3:$C$3,0)+1,FALSE),1)</f>
        <v>9.340668773085984E-3</v>
      </c>
      <c r="I39" s="29">
        <f ca="1">VLOOKUP($C39,$D$29:$Y$30,I$27,FALSE)*$C$36*$A39/8760/1000*88%*IF($C68="Manufactured",IF(RIGHT($D68,4)&lt;&gt;"ered",'HVAC weighting'!$G$17,'HVAC weighting'!$G$18),IF(RIGHT($D68,4)&lt;&gt;"ered",'HVAC weighting'!$G$23,'HVAC weighting'!$G$24))*IFERROR(VLOOKUP(RIGHT($D39,4),'HVAC weighting'!$A$3:$C$8,MATCH($C39,'HVAC weighting'!$B$3:$C$3,0)+1,FALSE),1)</f>
        <v>1.6024457512003914E-2</v>
      </c>
      <c r="J39" s="29">
        <f ca="1">VLOOKUP($C39,$D$29:$Y$30,J$27,FALSE)*$C$36*$A39/8760/1000*88%*IF($C68="Manufactured",IF(RIGHT($D68,4)&lt;&gt;"ered",'HVAC weighting'!$G$17,'HVAC weighting'!$G$18),IF(RIGHT($D68,4)&lt;&gt;"ered",'HVAC weighting'!$G$23,'HVAC weighting'!$G$24))*IFERROR(VLOOKUP(RIGHT($D39,4),'HVAC weighting'!$A$3:$C$8,MATCH($C39,'HVAC weighting'!$B$3:$C$3,0)+1,FALSE),1)</f>
        <v>2.451865726448724E-2</v>
      </c>
      <c r="K39" s="29">
        <f ca="1">VLOOKUP($C39,$D$29:$Y$30,K$27,FALSE)*$C$36*$A39/8760/1000*88%*IF($C68="Manufactured",IF(RIGHT($D68,4)&lt;&gt;"ered",'HVAC weighting'!$G$17,'HVAC weighting'!$G$18),IF(RIGHT($D68,4)&lt;&gt;"ered",'HVAC weighting'!$G$23,'HVAC weighting'!$G$24))*IFERROR(VLOOKUP(RIGHT($D39,4),'HVAC weighting'!$A$3:$C$8,MATCH($C39,'HVAC weighting'!$B$3:$C$3,0)+1,FALSE),1)</f>
        <v>3.5280929466801253E-2</v>
      </c>
      <c r="L39" s="29">
        <f ca="1">VLOOKUP($C39,$D$29:$Y$30,L$27,FALSE)*$C$36*$A39/8760/1000*88%*IF($C68="Manufactured",IF(RIGHT($D68,4)&lt;&gt;"ered",'HVAC weighting'!$G$17,'HVAC weighting'!$G$18),IF(RIGHT($D68,4)&lt;&gt;"ered",'HVAC weighting'!$G$23,'HVAC weighting'!$G$24))*IFERROR(VLOOKUP(RIGHT($D39,4),'HVAC weighting'!$A$3:$C$8,MATCH($C39,'HVAC weighting'!$B$3:$C$3,0)+1,FALSE),1)</f>
        <v>4.8401152143348738E-2</v>
      </c>
      <c r="M39" s="29">
        <f ca="1">VLOOKUP($C39,$D$29:$Y$30,M$27,FALSE)*$C$36*$A39/8760/1000*88%*IF($C68="Manufactured",IF(RIGHT($D68,4)&lt;&gt;"ered",'HVAC weighting'!$G$17,'HVAC weighting'!$G$18),IF(RIGHT($D68,4)&lt;&gt;"ered",'HVAC weighting'!$G$23,'HVAC weighting'!$G$24))*IFERROR(VLOOKUP(RIGHT($D39,4),'HVAC weighting'!$A$3:$C$8,MATCH($C39,'HVAC weighting'!$B$3:$C$3,0)+1,FALSE),1)</f>
        <v>6.2065591903709708E-2</v>
      </c>
      <c r="N39" s="29">
        <f ca="1">VLOOKUP($C39,$D$29:$Y$30,N$27,FALSE)*$C$36*$A39/8760/1000*88%*IF($C68="Manufactured",IF(RIGHT($D68,4)&lt;&gt;"ered",'HVAC weighting'!$G$17,'HVAC weighting'!$G$18),IF(RIGHT($D68,4)&lt;&gt;"ered",'HVAC weighting'!$G$23,'HVAC weighting'!$G$24))*IFERROR(VLOOKUP(RIGHT($D39,4),'HVAC weighting'!$A$3:$C$8,MATCH($C39,'HVAC weighting'!$B$3:$C$3,0)+1,FALSE),1)</f>
        <v>7.7583889901807673E-2</v>
      </c>
      <c r="O39" s="29">
        <f ca="1">VLOOKUP($C39,$D$29:$Y$30,O$27,FALSE)*$C$36*$A39/8760/1000*88%*IF($C68="Manufactured",IF(RIGHT($D68,4)&lt;&gt;"ered",'HVAC weighting'!$G$17,'HVAC weighting'!$G$18),IF(RIGHT($D68,4)&lt;&gt;"ered",'HVAC weighting'!$G$23,'HVAC weighting'!$G$24))*IFERROR(VLOOKUP(RIGHT($D39,4),'HVAC weighting'!$A$3:$C$8,MATCH($C39,'HVAC weighting'!$B$3:$C$3,0)+1,FALSE),1)</f>
        <v>9.1673848133973931E-2</v>
      </c>
      <c r="P39" s="29">
        <f ca="1">VLOOKUP($C39,$D$29:$Y$30,P$27,FALSE)*$C$36*$A39/8760/1000*88%*IF($C68="Manufactured",IF(RIGHT($D68,4)&lt;&gt;"ered",'HVAC weighting'!$G$17,'HVAC weighting'!$G$18),IF(RIGHT($D68,4)&lt;&gt;"ered",'HVAC weighting'!$G$23,'HVAC weighting'!$G$24))*IFERROR(VLOOKUP(RIGHT($D39,4),'HVAC weighting'!$A$3:$C$8,MATCH($C39,'HVAC weighting'!$B$3:$C$3,0)+1,FALSE),1)</f>
        <v>0.10219930670305177</v>
      </c>
      <c r="Q39" s="29">
        <f ca="1">VLOOKUP($C39,$D$29:$Y$30,Q$27,FALSE)*$C$36*$A39/8760/1000*88%*IF($C68="Manufactured",IF(RIGHT($D68,4)&lt;&gt;"ered",'HVAC weighting'!$G$17,'HVAC weighting'!$G$18),IF(RIGHT($D68,4)&lt;&gt;"ered",'HVAC weighting'!$G$23,'HVAC weighting'!$G$24))*IFERROR(VLOOKUP(RIGHT($D39,4),'HVAC weighting'!$A$3:$C$8,MATCH($C39,'HVAC weighting'!$B$3:$C$3,0)+1,FALSE),1)</f>
        <v>0.1088738221428302</v>
      </c>
      <c r="R39" s="29">
        <f ca="1">VLOOKUP($C39,$D$29:$Y$30,R$27,FALSE)*$C$36*$A39/8760/1000*88%*IF($C68="Manufactured",IF(RIGHT($D68,4)&lt;&gt;"ered",'HVAC weighting'!$G$17,'HVAC weighting'!$G$18),IF(RIGHT($D68,4)&lt;&gt;"ered",'HVAC weighting'!$G$23,'HVAC weighting'!$G$24))*IFERROR(VLOOKUP(RIGHT($D39,4),'HVAC weighting'!$A$3:$C$8,MATCH($C39,'HVAC weighting'!$B$3:$C$3,0)+1,FALSE),1)</f>
        <v>0.11629107478250836</v>
      </c>
      <c r="S39" s="29">
        <f ca="1">VLOOKUP($C39,$D$29:$Y$30,S$27,FALSE)*$C$36*$A39/8760/1000*88%*IF($C68="Manufactured",IF(RIGHT($D68,4)&lt;&gt;"ered",'HVAC weighting'!$G$17,'HVAC weighting'!$G$18),IF(RIGHT($D68,4)&lt;&gt;"ered",'HVAC weighting'!$G$23,'HVAC weighting'!$G$24))*IFERROR(VLOOKUP(RIGHT($D39,4),'HVAC weighting'!$A$3:$C$8,MATCH($C39,'HVAC weighting'!$B$3:$C$3,0)+1,FALSE),1)</f>
        <v>0.12309303886590452</v>
      </c>
      <c r="T39" s="29">
        <f ca="1">VLOOKUP($C39,$D$29:$Y$30,T$27,FALSE)*$C$36*$A39/8760/1000*88%*IF($C68="Manufactured",IF(RIGHT($D68,4)&lt;&gt;"ered",'HVAC weighting'!$G$17,'HVAC weighting'!$G$18),IF(RIGHT($D68,4)&lt;&gt;"ered",'HVAC weighting'!$G$23,'HVAC weighting'!$G$24))*IFERROR(VLOOKUP(RIGHT($D39,4),'HVAC weighting'!$A$3:$C$8,MATCH($C39,'HVAC weighting'!$B$3:$C$3,0)+1,FALSE),1)</f>
        <v>0.12636333029623159</v>
      </c>
      <c r="U39" s="29">
        <f ca="1">VLOOKUP($C39,$D$29:$Y$30,U$27,FALSE)*$C$36*$A39/8760/1000*88%*IF($C68="Manufactured",IF(RIGHT($D68,4)&lt;&gt;"ered",'HVAC weighting'!$G$17,'HVAC weighting'!$G$18),IF(RIGHT($D68,4)&lt;&gt;"ered",'HVAC weighting'!$G$23,'HVAC weighting'!$G$24))*IFERROR(VLOOKUP(RIGHT($D39,4),'HVAC weighting'!$A$3:$C$8,MATCH($C39,'HVAC weighting'!$B$3:$C$3,0)+1,FALSE),1)</f>
        <v>0.12462965369321866</v>
      </c>
      <c r="V39" s="29">
        <f ca="1">VLOOKUP($C39,$D$29:$Y$30,V$27,FALSE)*$C$36*$A39/8760/1000*88%*IF($C68="Manufactured",IF(RIGHT($D68,4)&lt;&gt;"ered",'HVAC weighting'!$G$17,'HVAC weighting'!$G$18),IF(RIGHT($D68,4)&lt;&gt;"ered",'HVAC weighting'!$G$23,'HVAC weighting'!$G$24))*IFERROR(VLOOKUP(RIGHT($D39,4),'HVAC weighting'!$A$3:$C$8,MATCH($C39,'HVAC weighting'!$B$3:$C$3,0)+1,FALSE),1)</f>
        <v>0.12597061035990861</v>
      </c>
      <c r="W39" s="29">
        <f ca="1">VLOOKUP($C39,$D$29:$Y$30,W$27,FALSE)*$C$36*$A39/8760/1000*88%*IF($C68="Manufactured",IF(RIGHT($D68,4)&lt;&gt;"ered",'HVAC weighting'!$G$17,'HVAC weighting'!$G$18),IF(RIGHT($D68,4)&lt;&gt;"ered",'HVAC weighting'!$G$23,'HVAC weighting'!$G$24))*IFERROR(VLOOKUP(RIGHT($D39,4),'HVAC weighting'!$A$3:$C$8,MATCH($C39,'HVAC weighting'!$B$3:$C$3,0)+1,FALSE),1)</f>
        <v>0.12723897938373185</v>
      </c>
      <c r="X39" s="29">
        <f ca="1">VLOOKUP($C39,$D$29:$Y$30,X$27,FALSE)*$C$36*$A39/8760/1000*88%*IF($C68="Manufactured",IF(RIGHT($D68,4)&lt;&gt;"ered",'HVAC weighting'!$G$17,'HVAC weighting'!$G$18),IF(RIGHT($D68,4)&lt;&gt;"ered",'HVAC weighting'!$G$23,'HVAC weighting'!$G$24))*IFERROR(VLOOKUP(RIGHT($D39,4),'HVAC weighting'!$A$3:$C$8,MATCH($C39,'HVAC weighting'!$B$3:$C$3,0)+1,FALSE),1)</f>
        <v>0.1286598119440884</v>
      </c>
      <c r="Y39" s="29">
        <f t="shared" ref="Y39:Y61" ca="1" si="15">SUM(E39:X39)</f>
        <v>1.4564130656770145</v>
      </c>
      <c r="AA39" s="35">
        <f t="shared" ref="AA39:AA61" ca="1" si="16">SUM(E39:X39)</f>
        <v>1.4564130656770145</v>
      </c>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row>
    <row r="40" spans="1:80">
      <c r="A40" s="58">
        <f t="shared" si="12"/>
        <v>1121.4904168963346</v>
      </c>
      <c r="B40" s="58">
        <f t="shared" si="13"/>
        <v>62.671853732153288</v>
      </c>
      <c r="C40" s="7" t="str">
        <f t="shared" si="14"/>
        <v>Single Family</v>
      </c>
      <c r="D40" s="7" t="s">
        <v>471</v>
      </c>
      <c r="E40" s="29">
        <f ca="1">VLOOKUP($C40,$D$29:$Y$30,E$27,FALSE)*$C$36*$A40/8760/1000*88%*IF($C69="Manufactured",IF(RIGHT($D69,4)&lt;&gt;"ered",'HVAC weighting'!$G$17,'HVAC weighting'!$G$18),IF(RIGHT($D69,4)&lt;&gt;"ered",'HVAC weighting'!$G$23,'HVAC weighting'!$G$24))*IFERROR(VLOOKUP(RIGHT($D40,4),'HVAC weighting'!$A$3:$C$8,MATCH($C40,'HVAC weighting'!$B$3:$C$3,0)+1,FALSE),1)</f>
        <v>5.7062400186098641E-3</v>
      </c>
      <c r="F40" s="29">
        <f ca="1">VLOOKUP($C40,$D$29:$Y$30,F$27,FALSE)*$C$36*$A40/8760/1000*88%*IF($C69="Manufactured",IF(RIGHT($D69,4)&lt;&gt;"ered",'HVAC weighting'!$G$17,'HVAC weighting'!$G$18),IF(RIGHT($D69,4)&lt;&gt;"ered",'HVAC weighting'!$G$23,'HVAC weighting'!$G$24))*IFERROR(VLOOKUP(RIGHT($D40,4),'HVAC weighting'!$A$3:$C$8,MATCH($C40,'HVAC weighting'!$B$3:$C$3,0)+1,FALSE),1)</f>
        <v>1.4038185003326849E-2</v>
      </c>
      <c r="G40" s="29">
        <f ca="1">VLOOKUP($C40,$D$29:$Y$30,G$27,FALSE)*$C$36*$A40/8760/1000*88%*IF($C69="Manufactured",IF(RIGHT($D69,4)&lt;&gt;"ered",'HVAC weighting'!$G$17,'HVAC weighting'!$G$18),IF(RIGHT($D69,4)&lt;&gt;"ered",'HVAC weighting'!$G$23,'HVAC weighting'!$G$24))*IFERROR(VLOOKUP(RIGHT($D40,4),'HVAC weighting'!$A$3:$C$8,MATCH($C40,'HVAC weighting'!$B$3:$C$3,0)+1,FALSE),1)</f>
        <v>2.9570626375982442E-2</v>
      </c>
      <c r="H40" s="29">
        <f ca="1">VLOOKUP($C40,$D$29:$Y$30,H$27,FALSE)*$C$36*$A40/8760/1000*88%*IF($C69="Manufactured",IF(RIGHT($D69,4)&lt;&gt;"ered",'HVAC weighting'!$G$17,'HVAC weighting'!$G$18),IF(RIGHT($D69,4)&lt;&gt;"ered",'HVAC weighting'!$G$23,'HVAC weighting'!$G$24))*IFERROR(VLOOKUP(RIGHT($D40,4),'HVAC weighting'!$A$3:$C$8,MATCH($C40,'HVAC weighting'!$B$3:$C$3,0)+1,FALSE),1)</f>
        <v>5.6146020293196389E-2</v>
      </c>
      <c r="I40" s="29">
        <f ca="1">VLOOKUP($C40,$D$29:$Y$30,I$27,FALSE)*$C$36*$A40/8760/1000*88%*IF($C69="Manufactured",IF(RIGHT($D69,4)&lt;&gt;"ered",'HVAC weighting'!$G$17,'HVAC weighting'!$G$18),IF(RIGHT($D69,4)&lt;&gt;"ered",'HVAC weighting'!$G$23,'HVAC weighting'!$G$24))*IFERROR(VLOOKUP(RIGHT($D40,4),'HVAC weighting'!$A$3:$C$8,MATCH($C40,'HVAC weighting'!$B$3:$C$3,0)+1,FALSE),1)</f>
        <v>9.6321745103395556E-2</v>
      </c>
      <c r="J40" s="29">
        <f ca="1">VLOOKUP($C40,$D$29:$Y$30,J$27,FALSE)*$C$36*$A40/8760/1000*88%*IF($C69="Manufactured",IF(RIGHT($D69,4)&lt;&gt;"ered",'HVAC weighting'!$G$17,'HVAC weighting'!$G$18),IF(RIGHT($D69,4)&lt;&gt;"ered",'HVAC weighting'!$G$23,'HVAC weighting'!$G$24))*IFERROR(VLOOKUP(RIGHT($D40,4),'HVAC weighting'!$A$3:$C$8,MATCH($C40,'HVAC weighting'!$B$3:$C$3,0)+1,FALSE),1)</f>
        <v>0.14737970714692367</v>
      </c>
      <c r="K40" s="29">
        <f ca="1">VLOOKUP($C40,$D$29:$Y$30,K$27,FALSE)*$C$36*$A40/8760/1000*88%*IF($C69="Manufactured",IF(RIGHT($D69,4)&lt;&gt;"ered",'HVAC weighting'!$G$17,'HVAC weighting'!$G$18),IF(RIGHT($D69,4)&lt;&gt;"ered",'HVAC weighting'!$G$23,'HVAC weighting'!$G$24))*IFERROR(VLOOKUP(RIGHT($D40,4),'HVAC weighting'!$A$3:$C$8,MATCH($C40,'HVAC weighting'!$B$3:$C$3,0)+1,FALSE),1)</f>
        <v>0.21207087307426339</v>
      </c>
      <c r="L40" s="29">
        <f ca="1">VLOOKUP($C40,$D$29:$Y$30,L$27,FALSE)*$C$36*$A40/8760/1000*88%*IF($C69="Manufactured",IF(RIGHT($D69,4)&lt;&gt;"ered",'HVAC weighting'!$G$17,'HVAC weighting'!$G$18),IF(RIGHT($D69,4)&lt;&gt;"ered",'HVAC weighting'!$G$23,'HVAC weighting'!$G$24))*IFERROR(VLOOKUP(RIGHT($D40,4),'HVAC weighting'!$A$3:$C$8,MATCH($C40,'HVAC weighting'!$B$3:$C$3,0)+1,FALSE),1)</f>
        <v>0.29093549257252183</v>
      </c>
      <c r="M40" s="29">
        <f ca="1">VLOOKUP($C40,$D$29:$Y$30,M$27,FALSE)*$C$36*$A40/8760/1000*88%*IF($C69="Manufactured",IF(RIGHT($D69,4)&lt;&gt;"ered",'HVAC weighting'!$G$17,'HVAC weighting'!$G$18),IF(RIGHT($D69,4)&lt;&gt;"ered",'HVAC weighting'!$G$23,'HVAC weighting'!$G$24))*IFERROR(VLOOKUP(RIGHT($D40,4),'HVAC weighting'!$A$3:$C$8,MATCH($C40,'HVAC weighting'!$B$3:$C$3,0)+1,FALSE),1)</f>
        <v>0.37307135786420126</v>
      </c>
      <c r="N40" s="29">
        <f ca="1">VLOOKUP($C40,$D$29:$Y$30,N$27,FALSE)*$C$36*$A40/8760/1000*88%*IF($C69="Manufactured",IF(RIGHT($D69,4)&lt;&gt;"ered",'HVAC weighting'!$G$17,'HVAC weighting'!$G$18),IF(RIGHT($D69,4)&lt;&gt;"ered",'HVAC weighting'!$G$23,'HVAC weighting'!$G$24))*IFERROR(VLOOKUP(RIGHT($D40,4),'HVAC weighting'!$A$3:$C$8,MATCH($C40,'HVAC weighting'!$B$3:$C$3,0)+1,FALSE),1)</f>
        <v>0.4663506182130529</v>
      </c>
      <c r="O40" s="29">
        <f ca="1">VLOOKUP($C40,$D$29:$Y$30,O$27,FALSE)*$C$36*$A40/8760/1000*88%*IF($C69="Manufactured",IF(RIGHT($D69,4)&lt;&gt;"ered",'HVAC weighting'!$G$17,'HVAC weighting'!$G$18),IF(RIGHT($D69,4)&lt;&gt;"ered",'HVAC weighting'!$G$23,'HVAC weighting'!$G$24))*IFERROR(VLOOKUP(RIGHT($D40,4),'HVAC weighting'!$A$3:$C$8,MATCH($C40,'HVAC weighting'!$B$3:$C$3,0)+1,FALSE),1)</f>
        <v>0.55104424134129637</v>
      </c>
      <c r="P40" s="29">
        <f ca="1">VLOOKUP($C40,$D$29:$Y$30,P$27,FALSE)*$C$36*$A40/8760/1000*88%*IF($C69="Manufactured",IF(RIGHT($D69,4)&lt;&gt;"ered",'HVAC weighting'!$G$17,'HVAC weighting'!$G$18),IF(RIGHT($D69,4)&lt;&gt;"ered",'HVAC weighting'!$G$23,'HVAC weighting'!$G$24))*IFERROR(VLOOKUP(RIGHT($D40,4),'HVAC weighting'!$A$3:$C$8,MATCH($C40,'HVAC weighting'!$B$3:$C$3,0)+1,FALSE),1)</f>
        <v>0.61431193927288663</v>
      </c>
      <c r="Q40" s="29">
        <f ca="1">VLOOKUP($C40,$D$29:$Y$30,Q$27,FALSE)*$C$36*$A40/8760/1000*88%*IF($C69="Manufactured",IF(RIGHT($D69,4)&lt;&gt;"ered",'HVAC weighting'!$G$17,'HVAC weighting'!$G$18),IF(RIGHT($D69,4)&lt;&gt;"ered",'HVAC weighting'!$G$23,'HVAC weighting'!$G$24))*IFERROR(VLOOKUP(RIGHT($D40,4),'HVAC weighting'!$A$3:$C$8,MATCH($C40,'HVAC weighting'!$B$3:$C$3,0)+1,FALSE),1)</f>
        <v>0.65443192301632491</v>
      </c>
      <c r="R40" s="29">
        <f ca="1">VLOOKUP($C40,$D$29:$Y$30,R$27,FALSE)*$C$36*$A40/8760/1000*88%*IF($C69="Manufactured",IF(RIGHT($D69,4)&lt;&gt;"ered",'HVAC weighting'!$G$17,'HVAC weighting'!$G$18),IF(RIGHT($D69,4)&lt;&gt;"ered",'HVAC weighting'!$G$23,'HVAC weighting'!$G$24))*IFERROR(VLOOKUP(RIGHT($D40,4),'HVAC weighting'!$A$3:$C$8,MATCH($C40,'HVAC weighting'!$B$3:$C$3,0)+1,FALSE),1)</f>
        <v>0.69901644124986739</v>
      </c>
      <c r="S40" s="29">
        <f ca="1">VLOOKUP($C40,$D$29:$Y$30,S$27,FALSE)*$C$36*$A40/8760/1000*88%*IF($C69="Manufactured",IF(RIGHT($D69,4)&lt;&gt;"ered",'HVAC weighting'!$G$17,'HVAC weighting'!$G$18),IF(RIGHT($D69,4)&lt;&gt;"ered",'HVAC weighting'!$G$23,'HVAC weighting'!$G$24))*IFERROR(VLOOKUP(RIGHT($D40,4),'HVAC weighting'!$A$3:$C$8,MATCH($C40,'HVAC weighting'!$B$3:$C$3,0)+1,FALSE),1)</f>
        <v>0.7399025086972395</v>
      </c>
      <c r="T40" s="29">
        <f ca="1">VLOOKUP($C40,$D$29:$Y$30,T$27,FALSE)*$C$36*$A40/8760/1000*88%*IF($C69="Manufactured",IF(RIGHT($D69,4)&lt;&gt;"ered",'HVAC weighting'!$G$17,'HVAC weighting'!$G$18),IF(RIGHT($D69,4)&lt;&gt;"ered",'HVAC weighting'!$G$23,'HVAC weighting'!$G$24))*IFERROR(VLOOKUP(RIGHT($D40,4),'HVAC weighting'!$A$3:$C$8,MATCH($C40,'HVAC weighting'!$B$3:$C$3,0)+1,FALSE),1)</f>
        <v>0.75955997150556331</v>
      </c>
      <c r="U40" s="29">
        <f ca="1">VLOOKUP($C40,$D$29:$Y$30,U$27,FALSE)*$C$36*$A40/8760/1000*88%*IF($C69="Manufactured",IF(RIGHT($D69,4)&lt;&gt;"ered",'HVAC weighting'!$G$17,'HVAC weighting'!$G$18),IF(RIGHT($D69,4)&lt;&gt;"ered",'HVAC weighting'!$G$23,'HVAC weighting'!$G$24))*IFERROR(VLOOKUP(RIGHT($D40,4),'HVAC weighting'!$A$3:$C$8,MATCH($C40,'HVAC weighting'!$B$3:$C$3,0)+1,FALSE),1)</f>
        <v>0.74913897873735003</v>
      </c>
      <c r="V40" s="29">
        <f ca="1">VLOOKUP($C40,$D$29:$Y$30,V$27,FALSE)*$C$36*$A40/8760/1000*88%*IF($C69="Manufactured",IF(RIGHT($D69,4)&lt;&gt;"ered",'HVAC weighting'!$G$17,'HVAC weighting'!$G$18),IF(RIGHT($D69,4)&lt;&gt;"ered",'HVAC weighting'!$G$23,'HVAC weighting'!$G$24))*IFERROR(VLOOKUP(RIGHT($D40,4),'HVAC weighting'!$A$3:$C$8,MATCH($C40,'HVAC weighting'!$B$3:$C$3,0)+1,FALSE),1)</f>
        <v>0.75719936306841762</v>
      </c>
      <c r="W40" s="29">
        <f ca="1">VLOOKUP($C40,$D$29:$Y$30,W$27,FALSE)*$C$36*$A40/8760/1000*88%*IF($C69="Manufactured",IF(RIGHT($D69,4)&lt;&gt;"ered",'HVAC weighting'!$G$17,'HVAC weighting'!$G$18),IF(RIGHT($D69,4)&lt;&gt;"ered",'HVAC weighting'!$G$23,'HVAC weighting'!$G$24))*IFERROR(VLOOKUP(RIGHT($D40,4),'HVAC weighting'!$A$3:$C$8,MATCH($C40,'HVAC weighting'!$B$3:$C$3,0)+1,FALSE),1)</f>
        <v>0.7648234288265392</v>
      </c>
      <c r="X40" s="29">
        <f ca="1">VLOOKUP($C40,$D$29:$Y$30,X$27,FALSE)*$C$36*$A40/8760/1000*88%*IF($C69="Manufactured",IF(RIGHT($D69,4)&lt;&gt;"ered",'HVAC weighting'!$G$17,'HVAC weighting'!$G$18),IF(RIGHT($D69,4)&lt;&gt;"ered",'HVAC weighting'!$G$23,'HVAC weighting'!$G$24))*IFERROR(VLOOKUP(RIGHT($D40,4),'HVAC weighting'!$A$3:$C$8,MATCH($C40,'HVAC weighting'!$B$3:$C$3,0)+1,FALSE),1)</f>
        <v>0.77336394082894222</v>
      </c>
      <c r="Y40" s="29">
        <f t="shared" ca="1" si="15"/>
        <v>8.7543836022099022</v>
      </c>
      <c r="AA40" s="35">
        <f t="shared" ca="1" si="16"/>
        <v>8.7543836022099022</v>
      </c>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row>
    <row r="41" spans="1:80">
      <c r="A41" s="58">
        <f t="shared" si="12"/>
        <v>1367.6145062653491</v>
      </c>
      <c r="B41" s="58">
        <f t="shared" si="13"/>
        <v>68.411966327303134</v>
      </c>
      <c r="C41" s="7" t="str">
        <f t="shared" si="14"/>
        <v>Manufactured</v>
      </c>
      <c r="D41" s="7" t="s">
        <v>485</v>
      </c>
      <c r="E41" s="29">
        <f ca="1">VLOOKUP($C41,$D$29:$Y$30,E$27,FALSE)*$C$36*$A41/8760/1000*88%*IF($C70="Manufactured",IF(RIGHT($D70,4)&lt;&gt;"ered",'HVAC weighting'!$G$17,'HVAC weighting'!$G$18),IF(RIGHT($D70,4)&lt;&gt;"ered",'HVAC weighting'!$G$23,'HVAC weighting'!$G$24))*IFERROR(VLOOKUP(RIGHT($D41,4),'HVAC weighting'!$A$3:$C$8,MATCH($C41,'HVAC weighting'!$B$3:$C$3,0)+1,FALSE),1)</f>
        <v>1.0814512745396524E-5</v>
      </c>
      <c r="F41" s="29">
        <f ca="1">VLOOKUP($C41,$D$29:$Y$30,F$27,FALSE)*$C$36*$A41/8760/1000*88%*IF($C70="Manufactured",IF(RIGHT($D70,4)&lt;&gt;"ered",'HVAC weighting'!$G$17,'HVAC weighting'!$G$18),IF(RIGHT($D70,4)&lt;&gt;"ered",'HVAC weighting'!$G$23,'HVAC weighting'!$G$24))*IFERROR(VLOOKUP(RIGHT($D41,4),'HVAC weighting'!$A$3:$C$8,MATCH($C41,'HVAC weighting'!$B$3:$C$3,0)+1,FALSE),1)</f>
        <v>2.7995734965125756E-5</v>
      </c>
      <c r="G41" s="29">
        <f ca="1">VLOOKUP($C41,$D$29:$Y$30,G$27,FALSE)*$C$36*$A41/8760/1000*88%*IF($C70="Manufactured",IF(RIGHT($D70,4)&lt;&gt;"ered",'HVAC weighting'!$G$17,'HVAC weighting'!$G$18),IF(RIGHT($D70,4)&lt;&gt;"ered",'HVAC weighting'!$G$23,'HVAC weighting'!$G$24))*IFERROR(VLOOKUP(RIGHT($D41,4),'HVAC weighting'!$A$3:$C$8,MATCH($C41,'HVAC weighting'!$B$3:$C$3,0)+1,FALSE),1)</f>
        <v>6.444314633430312E-5</v>
      </c>
      <c r="H41" s="29">
        <f ca="1">VLOOKUP($C41,$D$29:$Y$30,H$27,FALSE)*$C$36*$A41/8760/1000*88%*IF($C70="Manufactured",IF(RIGHT($D70,4)&lt;&gt;"ered",'HVAC weighting'!$G$17,'HVAC weighting'!$G$18),IF(RIGHT($D70,4)&lt;&gt;"ered",'HVAC weighting'!$G$23,'HVAC weighting'!$G$24))*IFERROR(VLOOKUP(RIGHT($D41,4),'HVAC weighting'!$A$3:$C$8,MATCH($C41,'HVAC weighting'!$B$3:$C$3,0)+1,FALSE),1)</f>
        <v>1.3114887099628683E-4</v>
      </c>
      <c r="I41" s="29">
        <f ca="1">VLOOKUP($C41,$D$29:$Y$30,I$27,FALSE)*$C$36*$A41/8760/1000*88%*IF($C70="Manufactured",IF(RIGHT($D70,4)&lt;&gt;"ered",'HVAC weighting'!$G$17,'HVAC weighting'!$G$18),IF(RIGHT($D70,4)&lt;&gt;"ered",'HVAC weighting'!$G$23,'HVAC weighting'!$G$24))*IFERROR(VLOOKUP(RIGHT($D41,4),'HVAC weighting'!$A$3:$C$8,MATCH($C41,'HVAC weighting'!$B$3:$C$3,0)+1,FALSE),1)</f>
        <v>2.2415031464488624E-4</v>
      </c>
      <c r="J41" s="29">
        <f ca="1">VLOOKUP($C41,$D$29:$Y$30,J$27,FALSE)*$C$36*$A41/8760/1000*88%*IF($C70="Manufactured",IF(RIGHT($D70,4)&lt;&gt;"ered",'HVAC weighting'!$G$17,'HVAC weighting'!$G$18),IF(RIGHT($D70,4)&lt;&gt;"ered",'HVAC weighting'!$G$23,'HVAC weighting'!$G$24))*IFERROR(VLOOKUP(RIGHT($D41,4),'HVAC weighting'!$A$3:$C$8,MATCH($C41,'HVAC weighting'!$B$3:$C$3,0)+1,FALSE),1)</f>
        <v>3.5427464768136342E-4</v>
      </c>
      <c r="K41" s="29">
        <f ca="1">VLOOKUP($C41,$D$29:$Y$30,K$27,FALSE)*$C$36*$A41/8760/1000*88%*IF($C70="Manufactured",IF(RIGHT($D70,4)&lt;&gt;"ered",'HVAC weighting'!$G$17,'HVAC weighting'!$G$18),IF(RIGHT($D70,4)&lt;&gt;"ered",'HVAC weighting'!$G$23,'HVAC weighting'!$G$24))*IFERROR(VLOOKUP(RIGHT($D41,4),'HVAC weighting'!$A$3:$C$8,MATCH($C41,'HVAC weighting'!$B$3:$C$3,0)+1,FALSE),1)</f>
        <v>5.2612730473060049E-4</v>
      </c>
      <c r="L41" s="29">
        <f ca="1">VLOOKUP($C41,$D$29:$Y$30,L$27,FALSE)*$C$36*$A41/8760/1000*88%*IF($C70="Manufactured",IF(RIGHT($D70,4)&lt;&gt;"ered",'HVAC weighting'!$G$17,'HVAC weighting'!$G$18),IF(RIGHT($D70,4)&lt;&gt;"ered",'HVAC weighting'!$G$23,'HVAC weighting'!$G$24))*IFERROR(VLOOKUP(RIGHT($D41,4),'HVAC weighting'!$A$3:$C$8,MATCH($C41,'HVAC weighting'!$B$3:$C$3,0)+1,FALSE),1)</f>
        <v>7.2933787910344427E-4</v>
      </c>
      <c r="M41" s="29">
        <f ca="1">VLOOKUP($C41,$D$29:$Y$30,M$27,FALSE)*$C$36*$A41/8760/1000*88%*IF($C70="Manufactured",IF(RIGHT($D70,4)&lt;&gt;"ered",'HVAC weighting'!$G$17,'HVAC weighting'!$G$18),IF(RIGHT($D70,4)&lt;&gt;"ered",'HVAC weighting'!$G$23,'HVAC weighting'!$G$24))*IFERROR(VLOOKUP(RIGHT($D41,4),'HVAC weighting'!$A$3:$C$8,MATCH($C41,'HVAC weighting'!$B$3:$C$3,0)+1,FALSE),1)</f>
        <v>9.5017433324982783E-4</v>
      </c>
      <c r="N41" s="29">
        <f ca="1">VLOOKUP($C41,$D$29:$Y$30,N$27,FALSE)*$C$36*$A41/8760/1000*88%*IF($C70="Manufactured",IF(RIGHT($D70,4)&lt;&gt;"ered",'HVAC weighting'!$G$17,'HVAC weighting'!$G$18),IF(RIGHT($D70,4)&lt;&gt;"ered",'HVAC weighting'!$G$23,'HVAC weighting'!$G$24))*IFERROR(VLOOKUP(RIGHT($D41,4),'HVAC weighting'!$A$3:$C$8,MATCH($C41,'HVAC weighting'!$B$3:$C$3,0)+1,FALSE),1)</f>
        <v>1.1677448688531405E-3</v>
      </c>
      <c r="O41" s="29">
        <f ca="1">VLOOKUP($C41,$D$29:$Y$30,O$27,FALSE)*$C$36*$A41/8760/1000*88%*IF($C70="Manufactured",IF(RIGHT($D70,4)&lt;&gt;"ered",'HVAC weighting'!$G$17,'HVAC weighting'!$G$18),IF(RIGHT($D70,4)&lt;&gt;"ered",'HVAC weighting'!$G$23,'HVAC weighting'!$G$24))*IFERROR(VLOOKUP(RIGHT($D41,4),'HVAC weighting'!$A$3:$C$8,MATCH($C41,'HVAC weighting'!$B$3:$C$3,0)+1,FALSE),1)</f>
        <v>1.3628530108624798E-3</v>
      </c>
      <c r="P41" s="29">
        <f ca="1">VLOOKUP($C41,$D$29:$Y$30,P$27,FALSE)*$C$36*$A41/8760/1000*88%*IF($C70="Manufactured",IF(RIGHT($D70,4)&lt;&gt;"ered",'HVAC weighting'!$G$17,'HVAC weighting'!$G$18),IF(RIGHT($D70,4)&lt;&gt;"ered",'HVAC weighting'!$G$23,'HVAC weighting'!$G$24))*IFERROR(VLOOKUP(RIGHT($D41,4),'HVAC weighting'!$A$3:$C$8,MATCH($C41,'HVAC weighting'!$B$3:$C$3,0)+1,FALSE),1)</f>
        <v>1.5374687363825003E-3</v>
      </c>
      <c r="Q41" s="29">
        <f ca="1">VLOOKUP($C41,$D$29:$Y$30,Q$27,FALSE)*$C$36*$A41/8760/1000*88%*IF($C70="Manufactured",IF(RIGHT($D70,4)&lt;&gt;"ered",'HVAC weighting'!$G$17,'HVAC weighting'!$G$18),IF(RIGHT($D70,4)&lt;&gt;"ered",'HVAC weighting'!$G$23,'HVAC weighting'!$G$24))*IFERROR(VLOOKUP(RIGHT($D41,4),'HVAC weighting'!$A$3:$C$8,MATCH($C41,'HVAC weighting'!$B$3:$C$3,0)+1,FALSE),1)</f>
        <v>1.6848414490037841E-3</v>
      </c>
      <c r="R41" s="29">
        <f ca="1">VLOOKUP($C41,$D$29:$Y$30,R$27,FALSE)*$C$36*$A41/8760/1000*88%*IF($C70="Manufactured",IF(RIGHT($D70,4)&lt;&gt;"ered",'HVAC weighting'!$G$17,'HVAC weighting'!$G$18),IF(RIGHT($D70,4)&lt;&gt;"ered",'HVAC weighting'!$G$23,'HVAC weighting'!$G$24))*IFERROR(VLOOKUP(RIGHT($D41,4),'HVAC weighting'!$A$3:$C$8,MATCH($C41,'HVAC weighting'!$B$3:$C$3,0)+1,FALSE),1)</f>
        <v>1.7997584774824289E-3</v>
      </c>
      <c r="S41" s="29">
        <f ca="1">VLOOKUP($C41,$D$29:$Y$30,S$27,FALSE)*$C$36*$A41/8760/1000*88%*IF($C70="Manufactured",IF(RIGHT($D70,4)&lt;&gt;"ered",'HVAC weighting'!$G$17,'HVAC weighting'!$G$18),IF(RIGHT($D70,4)&lt;&gt;"ered",'HVAC weighting'!$G$23,'HVAC weighting'!$G$24))*IFERROR(VLOOKUP(RIGHT($D41,4),'HVAC weighting'!$A$3:$C$8,MATCH($C41,'HVAC weighting'!$B$3:$C$3,0)+1,FALSE),1)</f>
        <v>1.8837363806486322E-3</v>
      </c>
      <c r="T41" s="29">
        <f ca="1">VLOOKUP($C41,$D$29:$Y$30,T$27,FALSE)*$C$36*$A41/8760/1000*88%*IF($C70="Manufactured",IF(RIGHT($D70,4)&lt;&gt;"ered",'HVAC weighting'!$G$17,'HVAC weighting'!$G$18),IF(RIGHT($D70,4)&lt;&gt;"ered",'HVAC weighting'!$G$23,'HVAC weighting'!$G$24))*IFERROR(VLOOKUP(RIGHT($D41,4),'HVAC weighting'!$A$3:$C$8,MATCH($C41,'HVAC weighting'!$B$3:$C$3,0)+1,FALSE),1)</f>
        <v>1.9411111353486608E-3</v>
      </c>
      <c r="U41" s="29">
        <f ca="1">VLOOKUP($C41,$D$29:$Y$30,U$27,FALSE)*$C$36*$A41/8760/1000*88%*IF($C70="Manufactured",IF(RIGHT($D70,4)&lt;&gt;"ered",'HVAC weighting'!$G$17,'HVAC weighting'!$G$18),IF(RIGHT($D70,4)&lt;&gt;"ered",'HVAC weighting'!$G$23,'HVAC weighting'!$G$24))*IFERROR(VLOOKUP(RIGHT($D41,4),'HVAC weighting'!$A$3:$C$8,MATCH($C41,'HVAC weighting'!$B$3:$C$3,0)+1,FALSE),1)</f>
        <v>1.9786325001375561E-3</v>
      </c>
      <c r="V41" s="29">
        <f ca="1">VLOOKUP($C41,$D$29:$Y$30,V$27,FALSE)*$C$36*$A41/8760/1000*88%*IF($C70="Manufactured",IF(RIGHT($D70,4)&lt;&gt;"ered",'HVAC weighting'!$G$17,'HVAC weighting'!$G$18),IF(RIGHT($D70,4)&lt;&gt;"ered",'HVAC weighting'!$G$23,'HVAC weighting'!$G$24))*IFERROR(VLOOKUP(RIGHT($D41,4),'HVAC weighting'!$A$3:$C$8,MATCH($C41,'HVAC weighting'!$B$3:$C$3,0)+1,FALSE),1)</f>
        <v>2.0035704086037239E-3</v>
      </c>
      <c r="W41" s="29">
        <f ca="1">VLOOKUP($C41,$D$29:$Y$30,W$27,FALSE)*$C$36*$A41/8760/1000*88%*IF($C70="Manufactured",IF(RIGHT($D70,4)&lt;&gt;"ered",'HVAC weighting'!$G$17,'HVAC weighting'!$G$18),IF(RIGHT($D70,4)&lt;&gt;"ered",'HVAC weighting'!$G$23,'HVAC weighting'!$G$24))*IFERROR(VLOOKUP(RIGHT($D41,4),'HVAC weighting'!$A$3:$C$8,MATCH($C41,'HVAC weighting'!$B$3:$C$3,0)+1,FALSE),1)</f>
        <v>2.0192305949899222E-3</v>
      </c>
      <c r="X41" s="29">
        <f ca="1">VLOOKUP($C41,$D$29:$Y$30,X$27,FALSE)*$C$36*$A41/8760/1000*88%*IF($C70="Manufactured",IF(RIGHT($D70,4)&lt;&gt;"ered",'HVAC weighting'!$G$17,'HVAC weighting'!$G$18),IF(RIGHT($D70,4)&lt;&gt;"ered",'HVAC weighting'!$G$23,'HVAC weighting'!$G$24))*IFERROR(VLOOKUP(RIGHT($D41,4),'HVAC weighting'!$A$3:$C$8,MATCH($C41,'HVAC weighting'!$B$3:$C$3,0)+1,FALSE),1)</f>
        <v>2.0282500712799157E-3</v>
      </c>
      <c r="Y41" s="29">
        <f t="shared" ca="1" si="15"/>
        <v>2.2425664378043979E-2</v>
      </c>
      <c r="AA41" s="35">
        <f t="shared" ca="1" si="16"/>
        <v>2.2425664378043979E-2</v>
      </c>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c r="A42" s="58">
        <f t="shared" si="12"/>
        <v>1351.2543502462204</v>
      </c>
      <c r="B42" s="58">
        <f t="shared" si="13"/>
        <v>68.882019400713702</v>
      </c>
      <c r="C42" s="7" t="str">
        <f t="shared" si="14"/>
        <v>Manufactured</v>
      </c>
      <c r="D42" s="7" t="s">
        <v>484</v>
      </c>
      <c r="E42" s="29">
        <f ca="1">VLOOKUP($C42,$D$29:$Y$30,E$27,FALSE)*$C$36*$A42/8760/1000*88%*IF($C71="Manufactured",IF(RIGHT($D71,4)&lt;&gt;"ered",'HVAC weighting'!$G$17,'HVAC weighting'!$G$18),IF(RIGHT($D71,4)&lt;&gt;"ered",'HVAC weighting'!$G$23,'HVAC weighting'!$G$24))*IFERROR(VLOOKUP(RIGHT($D42,4),'HVAC weighting'!$A$3:$C$8,MATCH($C42,'HVAC weighting'!$B$3:$C$3,0)+1,FALSE),1)</f>
        <v>7.8357719755435491E-5</v>
      </c>
      <c r="F42" s="29">
        <f ca="1">VLOOKUP($C42,$D$29:$Y$30,F$27,FALSE)*$C$36*$A42/8760/1000*88%*IF($C71="Manufactured",IF(RIGHT($D71,4)&lt;&gt;"ered",'HVAC weighting'!$G$17,'HVAC weighting'!$G$18),IF(RIGHT($D71,4)&lt;&gt;"ered",'HVAC weighting'!$G$23,'HVAC weighting'!$G$24))*IFERROR(VLOOKUP(RIGHT($D42,4),'HVAC weighting'!$A$3:$C$8,MATCH($C42,'HVAC weighting'!$B$3:$C$3,0)+1,FALSE),1)</f>
        <v>2.0284612043002743E-4</v>
      </c>
      <c r="G42" s="29">
        <f ca="1">VLOOKUP($C42,$D$29:$Y$30,G$27,FALSE)*$C$36*$A42/8760/1000*88%*IF($C71="Manufactured",IF(RIGHT($D71,4)&lt;&gt;"ered",'HVAC weighting'!$G$17,'HVAC weighting'!$G$18),IF(RIGHT($D71,4)&lt;&gt;"ered",'HVAC weighting'!$G$23,'HVAC weighting'!$G$24))*IFERROR(VLOOKUP(RIGHT($D42,4),'HVAC weighting'!$A$3:$C$8,MATCH($C42,'HVAC weighting'!$B$3:$C$3,0)+1,FALSE),1)</f>
        <v>4.6692977478540054E-4</v>
      </c>
      <c r="H42" s="29">
        <f ca="1">VLOOKUP($C42,$D$29:$Y$30,H$27,FALSE)*$C$36*$A42/8760/1000*88%*IF($C71="Manufactured",IF(RIGHT($D71,4)&lt;&gt;"ered",'HVAC weighting'!$G$17,'HVAC weighting'!$G$18),IF(RIGHT($D71,4)&lt;&gt;"ered",'HVAC weighting'!$G$23,'HVAC weighting'!$G$24))*IFERROR(VLOOKUP(RIGHT($D42,4),'HVAC weighting'!$A$3:$C$8,MATCH($C42,'HVAC weighting'!$B$3:$C$3,0)+1,FALSE),1)</f>
        <v>9.502533051378827E-4</v>
      </c>
      <c r="I42" s="29">
        <f ca="1">VLOOKUP($C42,$D$29:$Y$30,I$27,FALSE)*$C$36*$A42/8760/1000*88%*IF($C71="Manufactured",IF(RIGHT($D71,4)&lt;&gt;"ered",'HVAC weighting'!$G$17,'HVAC weighting'!$G$18),IF(RIGHT($D71,4)&lt;&gt;"ered",'HVAC weighting'!$G$23,'HVAC weighting'!$G$24))*IFERROR(VLOOKUP(RIGHT($D42,4),'HVAC weighting'!$A$3:$C$8,MATCH($C42,'HVAC weighting'!$B$3:$C$3,0)+1,FALSE),1)</f>
        <v>1.6241053065949008E-3</v>
      </c>
      <c r="J42" s="29">
        <f ca="1">VLOOKUP($C42,$D$29:$Y$30,J$27,FALSE)*$C$36*$A42/8760/1000*88%*IF($C71="Manufactured",IF(RIGHT($D71,4)&lt;&gt;"ered",'HVAC weighting'!$G$17,'HVAC weighting'!$G$18),IF(RIGHT($D71,4)&lt;&gt;"ered",'HVAC weighting'!$G$23,'HVAC weighting'!$G$24))*IFERROR(VLOOKUP(RIGHT($D42,4),'HVAC weighting'!$A$3:$C$8,MATCH($C42,'HVAC weighting'!$B$3:$C$3,0)+1,FALSE),1)</f>
        <v>2.5669352113241303E-3</v>
      </c>
      <c r="K42" s="29">
        <f ca="1">VLOOKUP($C42,$D$29:$Y$30,K$27,FALSE)*$C$36*$A42/8760/1000*88%*IF($C71="Manufactured",IF(RIGHT($D71,4)&lt;&gt;"ered",'HVAC weighting'!$G$17,'HVAC weighting'!$G$18),IF(RIGHT($D71,4)&lt;&gt;"ered",'HVAC weighting'!$G$23,'HVAC weighting'!$G$24))*IFERROR(VLOOKUP(RIGHT($D42,4),'HVAC weighting'!$A$3:$C$8,MATCH($C42,'HVAC weighting'!$B$3:$C$3,0)+1,FALSE),1)</f>
        <v>3.8121121931556255E-3</v>
      </c>
      <c r="L42" s="29">
        <f ca="1">VLOOKUP($C42,$D$29:$Y$30,L$27,FALSE)*$C$36*$A42/8760/1000*88%*IF($C71="Manufactured",IF(RIGHT($D71,4)&lt;&gt;"ered",'HVAC weighting'!$G$17,'HVAC weighting'!$G$18),IF(RIGHT($D71,4)&lt;&gt;"ered",'HVAC weighting'!$G$23,'HVAC weighting'!$G$24))*IFERROR(VLOOKUP(RIGHT($D42,4),'HVAC weighting'!$A$3:$C$8,MATCH($C42,'HVAC weighting'!$B$3:$C$3,0)+1,FALSE),1)</f>
        <v>5.2844963507152395E-3</v>
      </c>
      <c r="M42" s="29">
        <f ca="1">VLOOKUP($C42,$D$29:$Y$30,M$27,FALSE)*$C$36*$A42/8760/1000*88%*IF($C71="Manufactured",IF(RIGHT($D71,4)&lt;&gt;"ered",'HVAC weighting'!$G$17,'HVAC weighting'!$G$18),IF(RIGHT($D71,4)&lt;&gt;"ered",'HVAC weighting'!$G$23,'HVAC weighting'!$G$24))*IFERROR(VLOOKUP(RIGHT($D42,4),'HVAC weighting'!$A$3:$C$8,MATCH($C42,'HVAC weighting'!$B$3:$C$3,0)+1,FALSE),1)</f>
        <v>6.8845907232659024E-3</v>
      </c>
      <c r="N42" s="29">
        <f ca="1">VLOOKUP($C42,$D$29:$Y$30,N$27,FALSE)*$C$36*$A42/8760/1000*88%*IF($C71="Manufactured",IF(RIGHT($D71,4)&lt;&gt;"ered",'HVAC weighting'!$G$17,'HVAC weighting'!$G$18),IF(RIGHT($D71,4)&lt;&gt;"ered",'HVAC weighting'!$G$23,'HVAC weighting'!$G$24))*IFERROR(VLOOKUP(RIGHT($D42,4),'HVAC weighting'!$A$3:$C$8,MATCH($C42,'HVAC weighting'!$B$3:$C$3,0)+1,FALSE),1)</f>
        <v>8.4610215303867736E-3</v>
      </c>
      <c r="O42" s="29">
        <f ca="1">VLOOKUP($C42,$D$29:$Y$30,O$27,FALSE)*$C$36*$A42/8760/1000*88%*IF($C71="Manufactured",IF(RIGHT($D71,4)&lt;&gt;"ered",'HVAC weighting'!$G$17,'HVAC weighting'!$G$18),IF(RIGHT($D71,4)&lt;&gt;"ered",'HVAC weighting'!$G$23,'HVAC weighting'!$G$24))*IFERROR(VLOOKUP(RIGHT($D42,4),'HVAC weighting'!$A$3:$C$8,MATCH($C42,'HVAC weighting'!$B$3:$C$3,0)+1,FALSE),1)</f>
        <v>9.8746986394252136E-3</v>
      </c>
      <c r="P42" s="29">
        <f ca="1">VLOOKUP($C42,$D$29:$Y$30,P$27,FALSE)*$C$36*$A42/8760/1000*88%*IF($C71="Manufactured",IF(RIGHT($D71,4)&lt;&gt;"ered",'HVAC weighting'!$G$17,'HVAC weighting'!$G$18),IF(RIGHT($D71,4)&lt;&gt;"ered",'HVAC weighting'!$G$23,'HVAC weighting'!$G$24))*IFERROR(VLOOKUP(RIGHT($D42,4),'HVAC weighting'!$A$3:$C$8,MATCH($C42,'HVAC weighting'!$B$3:$C$3,0)+1,FALSE),1)</f>
        <v>1.113989573219429E-2</v>
      </c>
      <c r="Q42" s="29">
        <f ca="1">VLOOKUP($C42,$D$29:$Y$30,Q$27,FALSE)*$C$36*$A42/8760/1000*88%*IF($C71="Manufactured",IF(RIGHT($D71,4)&lt;&gt;"ered",'HVAC weighting'!$G$17,'HVAC weighting'!$G$18),IF(RIGHT($D71,4)&lt;&gt;"ered",'HVAC weighting'!$G$23,'HVAC weighting'!$G$24))*IFERROR(VLOOKUP(RIGHT($D42,4),'HVAC weighting'!$A$3:$C$8,MATCH($C42,'HVAC weighting'!$B$3:$C$3,0)+1,FALSE),1)</f>
        <v>1.2207700633537856E-2</v>
      </c>
      <c r="R42" s="29">
        <f ca="1">VLOOKUP($C42,$D$29:$Y$30,R$27,FALSE)*$C$36*$A42/8760/1000*88%*IF($C71="Manufactured",IF(RIGHT($D71,4)&lt;&gt;"ered",'HVAC weighting'!$G$17,'HVAC weighting'!$G$18),IF(RIGHT($D71,4)&lt;&gt;"ered",'HVAC weighting'!$G$23,'HVAC weighting'!$G$24))*IFERROR(VLOOKUP(RIGHT($D42,4),'HVAC weighting'!$A$3:$C$8,MATCH($C42,'HVAC weighting'!$B$3:$C$3,0)+1,FALSE),1)</f>
        <v>1.3040344371138528E-2</v>
      </c>
      <c r="S42" s="29">
        <f ca="1">VLOOKUP($C42,$D$29:$Y$30,S$27,FALSE)*$C$36*$A42/8760/1000*88%*IF($C71="Manufactured",IF(RIGHT($D71,4)&lt;&gt;"ered",'HVAC weighting'!$G$17,'HVAC weighting'!$G$18),IF(RIGHT($D71,4)&lt;&gt;"ered",'HVAC weighting'!$G$23,'HVAC weighting'!$G$24))*IFERROR(VLOOKUP(RIGHT($D42,4),'HVAC weighting'!$A$3:$C$8,MATCH($C42,'HVAC weighting'!$B$3:$C$3,0)+1,FALSE),1)</f>
        <v>1.3648815335745558E-2</v>
      </c>
      <c r="T42" s="29">
        <f ca="1">VLOOKUP($C42,$D$29:$Y$30,T$27,FALSE)*$C$36*$A42/8760/1000*88%*IF($C71="Manufactured",IF(RIGHT($D71,4)&lt;&gt;"ered",'HVAC weighting'!$G$17,'HVAC weighting'!$G$18),IF(RIGHT($D71,4)&lt;&gt;"ered",'HVAC weighting'!$G$23,'HVAC weighting'!$G$24))*IFERROR(VLOOKUP(RIGHT($D42,4),'HVAC weighting'!$A$3:$C$8,MATCH($C42,'HVAC weighting'!$B$3:$C$3,0)+1,FALSE),1)</f>
        <v>1.40645303157603E-2</v>
      </c>
      <c r="U42" s="29">
        <f ca="1">VLOOKUP($C42,$D$29:$Y$30,U$27,FALSE)*$C$36*$A42/8760/1000*88%*IF($C71="Manufactured",IF(RIGHT($D71,4)&lt;&gt;"ered",'HVAC weighting'!$G$17,'HVAC weighting'!$G$18),IF(RIGHT($D71,4)&lt;&gt;"ered",'HVAC weighting'!$G$23,'HVAC weighting'!$G$24))*IFERROR(VLOOKUP(RIGHT($D42,4),'HVAC weighting'!$A$3:$C$8,MATCH($C42,'HVAC weighting'!$B$3:$C$3,0)+1,FALSE),1)</f>
        <v>1.4336395415574556E-2</v>
      </c>
      <c r="V42" s="29">
        <f ca="1">VLOOKUP($C42,$D$29:$Y$30,V$27,FALSE)*$C$36*$A42/8760/1000*88%*IF($C71="Manufactured",IF(RIGHT($D71,4)&lt;&gt;"ered",'HVAC weighting'!$G$17,'HVAC weighting'!$G$18),IF(RIGHT($D71,4)&lt;&gt;"ered",'HVAC weighting'!$G$23,'HVAC weighting'!$G$24))*IFERROR(VLOOKUP(RIGHT($D42,4),'HVAC weighting'!$A$3:$C$8,MATCH($C42,'HVAC weighting'!$B$3:$C$3,0)+1,FALSE),1)</f>
        <v>1.4517085723948404E-2</v>
      </c>
      <c r="W42" s="29">
        <f ca="1">VLOOKUP($C42,$D$29:$Y$30,W$27,FALSE)*$C$36*$A42/8760/1000*88%*IF($C71="Manufactured",IF(RIGHT($D71,4)&lt;&gt;"ered",'HVAC weighting'!$G$17,'HVAC weighting'!$G$18),IF(RIGHT($D71,4)&lt;&gt;"ered",'HVAC weighting'!$G$23,'HVAC weighting'!$G$24))*IFERROR(VLOOKUP(RIGHT($D42,4),'HVAC weighting'!$A$3:$C$8,MATCH($C42,'HVAC weighting'!$B$3:$C$3,0)+1,FALSE),1)</f>
        <v>1.4630553295262699E-2</v>
      </c>
      <c r="X42" s="29">
        <f ca="1">VLOOKUP($C42,$D$29:$Y$30,X$27,FALSE)*$C$36*$A42/8760/1000*88%*IF($C71="Manufactured",IF(RIGHT($D71,4)&lt;&gt;"ered",'HVAC weighting'!$G$17,'HVAC weighting'!$G$18),IF(RIGHT($D71,4)&lt;&gt;"ered",'HVAC weighting'!$G$23,'HVAC weighting'!$G$24))*IFERROR(VLOOKUP(RIGHT($D42,4),'HVAC weighting'!$A$3:$C$8,MATCH($C42,'HVAC weighting'!$B$3:$C$3,0)+1,FALSE),1)</f>
        <v>1.4695904884567819E-2</v>
      </c>
      <c r="Y42" s="29">
        <f t="shared" ca="1" si="15"/>
        <v>0.16248757258270655</v>
      </c>
      <c r="AA42" s="35">
        <f t="shared" ca="1" si="16"/>
        <v>0.16248757258270655</v>
      </c>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c r="A43" s="58">
        <f t="shared" si="12"/>
        <v>1358.6845229206428</v>
      </c>
      <c r="B43" s="58">
        <f t="shared" si="13"/>
        <v>69.179824093007909</v>
      </c>
      <c r="C43" s="7" t="str">
        <f t="shared" si="14"/>
        <v>Single Family</v>
      </c>
      <c r="D43" s="7" t="s">
        <v>473</v>
      </c>
      <c r="E43" s="29">
        <f ca="1">VLOOKUP($C43,$D$29:$Y$30,E$27,FALSE)*$C$36*$A43/8760/1000*88%*IF($C72="Manufactured",IF(RIGHT($D72,4)&lt;&gt;"ered",'HVAC weighting'!$G$17,'HVAC weighting'!$G$18),IF(RIGHT($D72,4)&lt;&gt;"ered",'HVAC weighting'!$G$23,'HVAC weighting'!$G$24))*IFERROR(VLOOKUP(RIGHT($D43,4),'HVAC weighting'!$A$3:$C$8,MATCH($C43,'HVAC weighting'!$B$3:$C$3,0)+1,FALSE),1)</f>
        <v>1.6300787502111964E-3</v>
      </c>
      <c r="F43" s="29">
        <f ca="1">VLOOKUP($C43,$D$29:$Y$30,F$27,FALSE)*$C$36*$A43/8760/1000*88%*IF($C72="Manufactured",IF(RIGHT($D72,4)&lt;&gt;"ered",'HVAC weighting'!$G$17,'HVAC weighting'!$G$18),IF(RIGHT($D72,4)&lt;&gt;"ered",'HVAC weighting'!$G$23,'HVAC weighting'!$G$24))*IFERROR(VLOOKUP(RIGHT($D43,4),'HVAC weighting'!$A$3:$C$8,MATCH($C43,'HVAC weighting'!$B$3:$C$3,0)+1,FALSE),1)</f>
        <v>4.0102321302340448E-3</v>
      </c>
      <c r="G43" s="29">
        <f ca="1">VLOOKUP($C43,$D$29:$Y$30,G$27,FALSE)*$C$36*$A43/8760/1000*88%*IF($C72="Manufactured",IF(RIGHT($D72,4)&lt;&gt;"ered",'HVAC weighting'!$G$17,'HVAC weighting'!$G$18),IF(RIGHT($D72,4)&lt;&gt;"ered",'HVAC weighting'!$G$23,'HVAC weighting'!$G$24))*IFERROR(VLOOKUP(RIGHT($D43,4),'HVAC weighting'!$A$3:$C$8,MATCH($C43,'HVAC weighting'!$B$3:$C$3,0)+1,FALSE),1)</f>
        <v>8.4473224976026537E-3</v>
      </c>
      <c r="H43" s="29">
        <f ca="1">VLOOKUP($C43,$D$29:$Y$30,H$27,FALSE)*$C$36*$A43/8760/1000*88%*IF($C72="Manufactured",IF(RIGHT($D72,4)&lt;&gt;"ered",'HVAC weighting'!$G$17,'HVAC weighting'!$G$18),IF(RIGHT($D72,4)&lt;&gt;"ered",'HVAC weighting'!$G$23,'HVAC weighting'!$G$24))*IFERROR(VLOOKUP(RIGHT($D43,4),'HVAC weighting'!$A$3:$C$8,MATCH($C43,'HVAC weighting'!$B$3:$C$3,0)+1,FALSE),1)</f>
        <v>1.6039008925383832E-2</v>
      </c>
      <c r="I43" s="29">
        <f ca="1">VLOOKUP($C43,$D$29:$Y$30,I$27,FALSE)*$C$36*$A43/8760/1000*88%*IF($C72="Manufactured",IF(RIGHT($D72,4)&lt;&gt;"ered",'HVAC weighting'!$G$17,'HVAC weighting'!$G$18),IF(RIGHT($D72,4)&lt;&gt;"ered",'HVAC weighting'!$G$23,'HVAC weighting'!$G$24))*IFERROR(VLOOKUP(RIGHT($D43,4),'HVAC weighting'!$A$3:$C$8,MATCH($C43,'HVAC weighting'!$B$3:$C$3,0)+1,FALSE),1)</f>
        <v>2.751584745195405E-2</v>
      </c>
      <c r="J43" s="29">
        <f ca="1">VLOOKUP($C43,$D$29:$Y$30,J$27,FALSE)*$C$36*$A43/8760/1000*88%*IF($C72="Manufactured",IF(RIGHT($D72,4)&lt;&gt;"ered",'HVAC weighting'!$G$17,'HVAC weighting'!$G$18),IF(RIGHT($D72,4)&lt;&gt;"ered",'HVAC weighting'!$G$23,'HVAC weighting'!$G$24))*IFERROR(VLOOKUP(RIGHT($D43,4),'HVAC weighting'!$A$3:$C$8,MATCH($C43,'HVAC weighting'!$B$3:$C$3,0)+1,FALSE),1)</f>
        <v>4.2101371139147442E-2</v>
      </c>
      <c r="K43" s="29">
        <f ca="1">VLOOKUP($C43,$D$29:$Y$30,K$27,FALSE)*$C$36*$A43/8760/1000*88%*IF($C72="Manufactured",IF(RIGHT($D72,4)&lt;&gt;"ered",'HVAC weighting'!$G$17,'HVAC weighting'!$G$18),IF(RIGHT($D72,4)&lt;&gt;"ered",'HVAC weighting'!$G$23,'HVAC weighting'!$G$24))*IFERROR(VLOOKUP(RIGHT($D43,4),'HVAC weighting'!$A$3:$C$8,MATCH($C43,'HVAC weighting'!$B$3:$C$3,0)+1,FALSE),1)</f>
        <v>6.0581437620864209E-2</v>
      </c>
      <c r="L43" s="29">
        <f ca="1">VLOOKUP($C43,$D$29:$Y$30,L$27,FALSE)*$C$36*$A43/8760/1000*88%*IF($C72="Manufactured",IF(RIGHT($D72,4)&lt;&gt;"ered",'HVAC weighting'!$G$17,'HVAC weighting'!$G$18),IF(RIGHT($D72,4)&lt;&gt;"ered",'HVAC weighting'!$G$23,'HVAC weighting'!$G$24))*IFERROR(VLOOKUP(RIGHT($D43,4),'HVAC weighting'!$A$3:$C$8,MATCH($C43,'HVAC weighting'!$B$3:$C$3,0)+1,FALSE),1)</f>
        <v>8.3110377863185259E-2</v>
      </c>
      <c r="M43" s="29">
        <f ca="1">VLOOKUP($C43,$D$29:$Y$30,M$27,FALSE)*$C$36*$A43/8760/1000*88%*IF($C72="Manufactured",IF(RIGHT($D72,4)&lt;&gt;"ered",'HVAC weighting'!$G$17,'HVAC weighting'!$G$18),IF(RIGHT($D72,4)&lt;&gt;"ered",'HVAC weighting'!$G$23,'HVAC weighting'!$G$24))*IFERROR(VLOOKUP(RIGHT($D43,4),'HVAC weighting'!$A$3:$C$8,MATCH($C43,'HVAC weighting'!$B$3:$C$3,0)+1,FALSE),1)</f>
        <v>0.10657380180005524</v>
      </c>
      <c r="N43" s="29">
        <f ca="1">VLOOKUP($C43,$D$29:$Y$30,N$27,FALSE)*$C$36*$A43/8760/1000*88%*IF($C72="Manufactured",IF(RIGHT($D72,4)&lt;&gt;"ered",'HVAC weighting'!$G$17,'HVAC weighting'!$G$18),IF(RIGHT($D72,4)&lt;&gt;"ered",'HVAC weighting'!$G$23,'HVAC weighting'!$G$24))*IFERROR(VLOOKUP(RIGHT($D43,4),'HVAC weighting'!$A$3:$C$8,MATCH($C43,'HVAC weighting'!$B$3:$C$3,0)+1,FALSE),1)</f>
        <v>0.13322051480795347</v>
      </c>
      <c r="O43" s="29">
        <f ca="1">VLOOKUP($C43,$D$29:$Y$30,O$27,FALSE)*$C$36*$A43/8760/1000*88%*IF($C72="Manufactured",IF(RIGHT($D72,4)&lt;&gt;"ered",'HVAC weighting'!$G$17,'HVAC weighting'!$G$18),IF(RIGHT($D72,4)&lt;&gt;"ered",'HVAC weighting'!$G$23,'HVAC weighting'!$G$24))*IFERROR(VLOOKUP(RIGHT($D43,4),'HVAC weighting'!$A$3:$C$8,MATCH($C43,'HVAC weighting'!$B$3:$C$3,0)+1,FALSE),1)</f>
        <v>0.15741460319005735</v>
      </c>
      <c r="P43" s="29">
        <f ca="1">VLOOKUP($C43,$D$29:$Y$30,P$27,FALSE)*$C$36*$A43/8760/1000*88%*IF($C72="Manufactured",IF(RIGHT($D72,4)&lt;&gt;"ered",'HVAC weighting'!$G$17,'HVAC weighting'!$G$18),IF(RIGHT($D72,4)&lt;&gt;"ered",'HVAC weighting'!$G$23,'HVAC weighting'!$G$24))*IFERROR(VLOOKUP(RIGHT($D43,4),'HVAC weighting'!$A$3:$C$8,MATCH($C43,'HVAC weighting'!$B$3:$C$3,0)+1,FALSE),1)</f>
        <v>0.17548803326603069</v>
      </c>
      <c r="Q43" s="29">
        <f ca="1">VLOOKUP($C43,$D$29:$Y$30,Q$27,FALSE)*$C$36*$A43/8760/1000*88%*IF($C72="Manufactured",IF(RIGHT($D72,4)&lt;&gt;"ered",'HVAC weighting'!$G$17,'HVAC weighting'!$G$18),IF(RIGHT($D72,4)&lt;&gt;"ered",'HVAC weighting'!$G$23,'HVAC weighting'!$G$24))*IFERROR(VLOOKUP(RIGHT($D43,4),'HVAC weighting'!$A$3:$C$8,MATCH($C43,'HVAC weighting'!$B$3:$C$3,0)+1,FALSE),1)</f>
        <v>0.18694894846513052</v>
      </c>
      <c r="R43" s="29">
        <f ca="1">VLOOKUP($C43,$D$29:$Y$30,R$27,FALSE)*$C$36*$A43/8760/1000*88%*IF($C72="Manufactured",IF(RIGHT($D72,4)&lt;&gt;"ered",'HVAC weighting'!$G$17,'HVAC weighting'!$G$18),IF(RIGHT($D72,4)&lt;&gt;"ered",'HVAC weighting'!$G$23,'HVAC weighting'!$G$24))*IFERROR(VLOOKUP(RIGHT($D43,4),'HVAC weighting'!$A$3:$C$8,MATCH($C43,'HVAC weighting'!$B$3:$C$3,0)+1,FALSE),1)</f>
        <v>0.19968522936531713</v>
      </c>
      <c r="S43" s="29">
        <f ca="1">VLOOKUP($C43,$D$29:$Y$30,S$27,FALSE)*$C$36*$A43/8760/1000*88%*IF($C72="Manufactured",IF(RIGHT($D72,4)&lt;&gt;"ered",'HVAC weighting'!$G$17,'HVAC weighting'!$G$18),IF(RIGHT($D72,4)&lt;&gt;"ered",'HVAC weighting'!$G$23,'HVAC weighting'!$G$24))*IFERROR(VLOOKUP(RIGHT($D43,4),'HVAC weighting'!$A$3:$C$8,MATCH($C43,'HVAC weighting'!$B$3:$C$3,0)+1,FALSE),1)</f>
        <v>0.21136498863031544</v>
      </c>
      <c r="T43" s="29">
        <f ca="1">VLOOKUP($C43,$D$29:$Y$30,T$27,FALSE)*$C$36*$A43/8760/1000*88%*IF($C72="Manufactured",IF(RIGHT($D72,4)&lt;&gt;"ered",'HVAC weighting'!$G$17,'HVAC weighting'!$G$18),IF(RIGHT($D72,4)&lt;&gt;"ered",'HVAC weighting'!$G$23,'HVAC weighting'!$G$24))*IFERROR(VLOOKUP(RIGHT($D43,4),'HVAC weighting'!$A$3:$C$8,MATCH($C43,'HVAC weighting'!$B$3:$C$3,0)+1,FALSE),1)</f>
        <v>0.21698045736321359</v>
      </c>
      <c r="U43" s="29">
        <f ca="1">VLOOKUP($C43,$D$29:$Y$30,U$27,FALSE)*$C$36*$A43/8760/1000*88%*IF($C72="Manufactured",IF(RIGHT($D72,4)&lt;&gt;"ered",'HVAC weighting'!$G$17,'HVAC weighting'!$G$18),IF(RIGHT($D72,4)&lt;&gt;"ered",'HVAC weighting'!$G$23,'HVAC weighting'!$G$24))*IFERROR(VLOOKUP(RIGHT($D43,4),'HVAC weighting'!$A$3:$C$8,MATCH($C43,'HVAC weighting'!$B$3:$C$3,0)+1,FALSE),1)</f>
        <v>0.21400353406307743</v>
      </c>
      <c r="V43" s="29">
        <f ca="1">VLOOKUP($C43,$D$29:$Y$30,V$27,FALSE)*$C$36*$A43/8760/1000*88%*IF($C72="Manufactured",IF(RIGHT($D72,4)&lt;&gt;"ered",'HVAC weighting'!$G$17,'HVAC weighting'!$G$18),IF(RIGHT($D72,4)&lt;&gt;"ered",'HVAC weighting'!$G$23,'HVAC weighting'!$G$24))*IFERROR(VLOOKUP(RIGHT($D43,4),'HVAC weighting'!$A$3:$C$8,MATCH($C43,'HVAC weighting'!$B$3:$C$3,0)+1,FALSE),1)</f>
        <v>0.21630611179793571</v>
      </c>
      <c r="W43" s="29">
        <f ca="1">VLOOKUP($C43,$D$29:$Y$30,W$27,FALSE)*$C$36*$A43/8760/1000*88%*IF($C72="Manufactured",IF(RIGHT($D72,4)&lt;&gt;"ered",'HVAC weighting'!$G$17,'HVAC weighting'!$G$18),IF(RIGHT($D72,4)&lt;&gt;"ered",'HVAC weighting'!$G$23,'HVAC weighting'!$G$24))*IFERROR(VLOOKUP(RIGHT($D43,4),'HVAC weighting'!$A$3:$C$8,MATCH($C43,'HVAC weighting'!$B$3:$C$3,0)+1,FALSE),1)</f>
        <v>0.21848404815217173</v>
      </c>
      <c r="X43" s="29">
        <f ca="1">VLOOKUP($C43,$D$29:$Y$30,X$27,FALSE)*$C$36*$A43/8760/1000*88%*IF($C72="Manufactured",IF(RIGHT($D72,4)&lt;&gt;"ered",'HVAC weighting'!$G$17,'HVAC weighting'!$G$18),IF(RIGHT($D72,4)&lt;&gt;"ered",'HVAC weighting'!$G$23,'HVAC weighting'!$G$24))*IFERROR(VLOOKUP(RIGHT($D43,4),'HVAC weighting'!$A$3:$C$8,MATCH($C43,'HVAC weighting'!$B$3:$C$3,0)+1,FALSE),1)</f>
        <v>0.22092378203746882</v>
      </c>
      <c r="Y43" s="29">
        <f t="shared" ca="1" si="15"/>
        <v>2.5008297293173101</v>
      </c>
      <c r="AA43" s="35">
        <f t="shared" ca="1" si="16"/>
        <v>2.5008297293173101</v>
      </c>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58">
        <f t="shared" si="12"/>
        <v>1342.1286397245815</v>
      </c>
      <c r="B44" s="58">
        <f t="shared" si="13"/>
        <v>69.681389746023285</v>
      </c>
      <c r="C44" s="7" t="str">
        <f t="shared" si="14"/>
        <v>Single Family</v>
      </c>
      <c r="D44" s="7" t="s">
        <v>472</v>
      </c>
      <c r="E44" s="29">
        <f ca="1">VLOOKUP($C44,$D$29:$Y$30,E$27,FALSE)*$C$36*$A44/8760/1000*88%*IF($C73="Manufactured",IF(RIGHT($D73,4)&lt;&gt;"ered",'HVAC weighting'!$G$17,'HVAC weighting'!$G$18),IF(RIGHT($D73,4)&lt;&gt;"ered",'HVAC weighting'!$G$23,'HVAC weighting'!$G$24))*IFERROR(VLOOKUP(RIGHT($D44,4),'HVAC weighting'!$A$3:$C$8,MATCH($C44,'HVAC weighting'!$B$3:$C$3,0)+1,FALSE),1)</f>
        <v>2.627194307647511E-3</v>
      </c>
      <c r="F44" s="29">
        <f ca="1">VLOOKUP($C44,$D$29:$Y$30,F$27,FALSE)*$C$36*$A44/8760/1000*88%*IF($C73="Manufactured",IF(RIGHT($D73,4)&lt;&gt;"ered",'HVAC weighting'!$G$17,'HVAC weighting'!$G$18),IF(RIGHT($D73,4)&lt;&gt;"ered",'HVAC weighting'!$G$23,'HVAC weighting'!$G$24))*IFERROR(VLOOKUP(RIGHT($D44,4),'HVAC weighting'!$A$3:$C$8,MATCH($C44,'HVAC weighting'!$B$3:$C$3,0)+1,FALSE),1)</f>
        <v>6.4632822331626696E-3</v>
      </c>
      <c r="G44" s="29">
        <f ca="1">VLOOKUP($C44,$D$29:$Y$30,G$27,FALSE)*$C$36*$A44/8760/1000*88%*IF($C73="Manufactured",IF(RIGHT($D73,4)&lt;&gt;"ered",'HVAC weighting'!$G$17,'HVAC weighting'!$G$18),IF(RIGHT($D73,4)&lt;&gt;"ered",'HVAC weighting'!$G$23,'HVAC weighting'!$G$24))*IFERROR(VLOOKUP(RIGHT($D44,4),'HVAC weighting'!$A$3:$C$8,MATCH($C44,'HVAC weighting'!$B$3:$C$3,0)+1,FALSE),1)</f>
        <v>1.3614530940722413E-2</v>
      </c>
      <c r="H44" s="29">
        <f ca="1">VLOOKUP($C44,$D$29:$Y$30,H$27,FALSE)*$C$36*$A44/8760/1000*88%*IF($C73="Manufactured",IF(RIGHT($D73,4)&lt;&gt;"ered",'HVAC weighting'!$G$17,'HVAC weighting'!$G$18),IF(RIGHT($D73,4)&lt;&gt;"ered",'HVAC weighting'!$G$23,'HVAC weighting'!$G$24))*IFERROR(VLOOKUP(RIGHT($D44,4),'HVAC weighting'!$A$3:$C$8,MATCH($C44,'HVAC weighting'!$B$3:$C$3,0)+1,FALSE),1)</f>
        <v>2.5850035124754922E-2</v>
      </c>
      <c r="I44" s="29">
        <f ca="1">VLOOKUP($C44,$D$29:$Y$30,I$27,FALSE)*$C$36*$A44/8760/1000*88%*IF($C73="Manufactured",IF(RIGHT($D73,4)&lt;&gt;"ered",'HVAC weighting'!$G$17,'HVAC weighting'!$G$18),IF(RIGHT($D73,4)&lt;&gt;"ered",'HVAC weighting'!$G$23,'HVAC weighting'!$G$24))*IFERROR(VLOOKUP(RIGHT($D44,4),'HVAC weighting'!$A$3:$C$8,MATCH($C44,'HVAC weighting'!$B$3:$C$3,0)+1,FALSE),1)</f>
        <v>4.4347230332586675E-2</v>
      </c>
      <c r="J44" s="29">
        <f ca="1">VLOOKUP($C44,$D$29:$Y$30,J$27,FALSE)*$C$36*$A44/8760/1000*88%*IF($C73="Manufactured",IF(RIGHT($D73,4)&lt;&gt;"ered",'HVAC weighting'!$G$17,'HVAC weighting'!$G$18),IF(RIGHT($D73,4)&lt;&gt;"ered",'HVAC weighting'!$G$23,'HVAC weighting'!$G$24))*IFERROR(VLOOKUP(RIGHT($D44,4),'HVAC weighting'!$A$3:$C$8,MATCH($C44,'HVAC weighting'!$B$3:$C$3,0)+1,FALSE),1)</f>
        <v>6.7854686521490265E-2</v>
      </c>
      <c r="K44" s="29">
        <f ca="1">VLOOKUP($C44,$D$29:$Y$30,K$27,FALSE)*$C$36*$A44/8760/1000*88%*IF($C73="Manufactured",IF(RIGHT($D73,4)&lt;&gt;"ered",'HVAC weighting'!$G$17,'HVAC weighting'!$G$18),IF(RIGHT($D73,4)&lt;&gt;"ered",'HVAC weighting'!$G$23,'HVAC weighting'!$G$24))*IFERROR(VLOOKUP(RIGHT($D44,4),'HVAC weighting'!$A$3:$C$8,MATCH($C44,'HVAC weighting'!$B$3:$C$3,0)+1,FALSE),1)</f>
        <v>9.7638968697687914E-2</v>
      </c>
      <c r="L44" s="29">
        <f ca="1">VLOOKUP($C44,$D$29:$Y$30,L$27,FALSE)*$C$36*$A44/8760/1000*88%*IF($C73="Manufactured",IF(RIGHT($D73,4)&lt;&gt;"ered",'HVAC weighting'!$G$17,'HVAC weighting'!$G$18),IF(RIGHT($D73,4)&lt;&gt;"ered",'HVAC weighting'!$G$23,'HVAC weighting'!$G$24))*IFERROR(VLOOKUP(RIGHT($D44,4),'HVAC weighting'!$A$3:$C$8,MATCH($C44,'HVAC weighting'!$B$3:$C$3,0)+1,FALSE),1)</f>
        <v>0.13394881173704309</v>
      </c>
      <c r="M44" s="29">
        <f ca="1">VLOOKUP($C44,$D$29:$Y$30,M$27,FALSE)*$C$36*$A44/8760/1000*88%*IF($C73="Manufactured",IF(RIGHT($D73,4)&lt;&gt;"ered",'HVAC weighting'!$G$17,'HVAC weighting'!$G$18),IF(RIGHT($D73,4)&lt;&gt;"ered",'HVAC weighting'!$G$23,'HVAC weighting'!$G$24))*IFERROR(VLOOKUP(RIGHT($D44,4),'HVAC weighting'!$A$3:$C$8,MATCH($C44,'HVAC weighting'!$B$3:$C$3,0)+1,FALSE),1)</f>
        <v>0.17176476007504732</v>
      </c>
      <c r="N44" s="29">
        <f ca="1">VLOOKUP($C44,$D$29:$Y$30,N$27,FALSE)*$C$36*$A44/8760/1000*88%*IF($C73="Manufactured",IF(RIGHT($D73,4)&lt;&gt;"ered",'HVAC weighting'!$G$17,'HVAC weighting'!$G$18),IF(RIGHT($D73,4)&lt;&gt;"ered",'HVAC weighting'!$G$23,'HVAC weighting'!$G$24))*IFERROR(VLOOKUP(RIGHT($D44,4),'HVAC weighting'!$A$3:$C$8,MATCH($C44,'HVAC weighting'!$B$3:$C$3,0)+1,FALSE),1)</f>
        <v>0.21471120835111807</v>
      </c>
      <c r="O44" s="29">
        <f ca="1">VLOOKUP($C44,$D$29:$Y$30,O$27,FALSE)*$C$36*$A44/8760/1000*88%*IF($C73="Manufactured",IF(RIGHT($D73,4)&lt;&gt;"ered",'HVAC weighting'!$G$17,'HVAC weighting'!$G$18),IF(RIGHT($D73,4)&lt;&gt;"ered",'HVAC weighting'!$G$23,'HVAC weighting'!$G$24))*IFERROR(VLOOKUP(RIGHT($D44,4),'HVAC weighting'!$A$3:$C$8,MATCH($C44,'HVAC weighting'!$B$3:$C$3,0)+1,FALSE),1)</f>
        <v>0.25370476695554051</v>
      </c>
      <c r="P44" s="29">
        <f ca="1">VLOOKUP($C44,$D$29:$Y$30,P$27,FALSE)*$C$36*$A44/8760/1000*88%*IF($C73="Manufactured",IF(RIGHT($D73,4)&lt;&gt;"ered",'HVAC weighting'!$G$17,'HVAC weighting'!$G$18),IF(RIGHT($D73,4)&lt;&gt;"ered",'HVAC weighting'!$G$23,'HVAC weighting'!$G$24))*IFERROR(VLOOKUP(RIGHT($D44,4),'HVAC weighting'!$A$3:$C$8,MATCH($C44,'HVAC weighting'!$B$3:$C$3,0)+1,FALSE),1)</f>
        <v>0.28283367413816018</v>
      </c>
      <c r="Q44" s="29">
        <f ca="1">VLOOKUP($C44,$D$29:$Y$30,Q$27,FALSE)*$C$36*$A44/8760/1000*88%*IF($C73="Manufactured",IF(RIGHT($D73,4)&lt;&gt;"ered",'HVAC weighting'!$G$17,'HVAC weighting'!$G$18),IF(RIGHT($D73,4)&lt;&gt;"ered",'HVAC weighting'!$G$23,'HVAC weighting'!$G$24))*IFERROR(VLOOKUP(RIGHT($D44,4),'HVAC weighting'!$A$3:$C$8,MATCH($C44,'HVAC weighting'!$B$3:$C$3,0)+1,FALSE),1)</f>
        <v>0.30130520575441172</v>
      </c>
      <c r="R44" s="29">
        <f ca="1">VLOOKUP($C44,$D$29:$Y$30,R$27,FALSE)*$C$36*$A44/8760/1000*88%*IF($C73="Manufactured",IF(RIGHT($D73,4)&lt;&gt;"ered",'HVAC weighting'!$G$17,'HVAC weighting'!$G$18),IF(RIGHT($D73,4)&lt;&gt;"ered",'HVAC weighting'!$G$23,'HVAC weighting'!$G$24))*IFERROR(VLOOKUP(RIGHT($D44,4),'HVAC weighting'!$A$3:$C$8,MATCH($C44,'HVAC weighting'!$B$3:$C$3,0)+1,FALSE),1)</f>
        <v>0.32183224144347566</v>
      </c>
      <c r="S44" s="29">
        <f ca="1">VLOOKUP($C44,$D$29:$Y$30,S$27,FALSE)*$C$36*$A44/8760/1000*88%*IF($C73="Manufactured",IF(RIGHT($D73,4)&lt;&gt;"ered",'HVAC weighting'!$G$17,'HVAC weighting'!$G$18),IF(RIGHT($D73,4)&lt;&gt;"ered",'HVAC weighting'!$G$23,'HVAC weighting'!$G$24))*IFERROR(VLOOKUP(RIGHT($D44,4),'HVAC weighting'!$A$3:$C$8,MATCH($C44,'HVAC weighting'!$B$3:$C$3,0)+1,FALSE),1)</f>
        <v>0.34065648355553396</v>
      </c>
      <c r="T44" s="29">
        <f ca="1">VLOOKUP($C44,$D$29:$Y$30,T$27,FALSE)*$C$36*$A44/8760/1000*88%*IF($C73="Manufactured",IF(RIGHT($D73,4)&lt;&gt;"ered",'HVAC weighting'!$G$17,'HVAC weighting'!$G$18),IF(RIGHT($D73,4)&lt;&gt;"ered",'HVAC weighting'!$G$23,'HVAC weighting'!$G$24))*IFERROR(VLOOKUP(RIGHT($D44,4),'HVAC weighting'!$A$3:$C$8,MATCH($C44,'HVAC weighting'!$B$3:$C$3,0)+1,FALSE),1)</f>
        <v>0.3497069220622202</v>
      </c>
      <c r="U44" s="29">
        <f ca="1">VLOOKUP($C44,$D$29:$Y$30,U$27,FALSE)*$C$36*$A44/8760/1000*88%*IF($C73="Manufactured",IF(RIGHT($D73,4)&lt;&gt;"ered",'HVAC weighting'!$G$17,'HVAC weighting'!$G$18),IF(RIGHT($D73,4)&lt;&gt;"ered",'HVAC weighting'!$G$23,'HVAC weighting'!$G$24))*IFERROR(VLOOKUP(RIGHT($D44,4),'HVAC weighting'!$A$3:$C$8,MATCH($C44,'HVAC weighting'!$B$3:$C$3,0)+1,FALSE),1)</f>
        <v>0.34490902137956453</v>
      </c>
      <c r="V44" s="29">
        <f ca="1">VLOOKUP($C44,$D$29:$Y$30,V$27,FALSE)*$C$36*$A44/8760/1000*88%*IF($C73="Manufactured",IF(RIGHT($D73,4)&lt;&gt;"ered",'HVAC weighting'!$G$17,'HVAC weighting'!$G$18),IF(RIGHT($D73,4)&lt;&gt;"ered",'HVAC weighting'!$G$23,'HVAC weighting'!$G$24))*IFERROR(VLOOKUP(RIGHT($D44,4),'HVAC weighting'!$A$3:$C$8,MATCH($C44,'HVAC weighting'!$B$3:$C$3,0)+1,FALSE),1)</f>
        <v>0.34862008080976181</v>
      </c>
      <c r="W44" s="29">
        <f ca="1">VLOOKUP($C44,$D$29:$Y$30,W$27,FALSE)*$C$36*$A44/8760/1000*88%*IF($C73="Manufactured",IF(RIGHT($D73,4)&lt;&gt;"ered",'HVAC weighting'!$G$17,'HVAC weighting'!$G$18),IF(RIGHT($D73,4)&lt;&gt;"ered",'HVAC weighting'!$G$23,'HVAC weighting'!$G$24))*IFERROR(VLOOKUP(RIGHT($D44,4),'HVAC weighting'!$A$3:$C$8,MATCH($C44,'HVAC weighting'!$B$3:$C$3,0)+1,FALSE),1)</f>
        <v>0.35213025600315423</v>
      </c>
      <c r="X44" s="29">
        <f ca="1">VLOOKUP($C44,$D$29:$Y$30,X$27,FALSE)*$C$36*$A44/8760/1000*88%*IF($C73="Manufactured",IF(RIGHT($D73,4)&lt;&gt;"ered",'HVAC weighting'!$G$17,'HVAC weighting'!$G$18),IF(RIGHT($D73,4)&lt;&gt;"ered",'HVAC weighting'!$G$23,'HVAC weighting'!$G$24))*IFERROR(VLOOKUP(RIGHT($D44,4),'HVAC weighting'!$A$3:$C$8,MATCH($C44,'HVAC weighting'!$B$3:$C$3,0)+1,FALSE),1)</f>
        <v>0.35606236969692318</v>
      </c>
      <c r="Y44" s="29">
        <f t="shared" ca="1" si="15"/>
        <v>4.0305817301200069</v>
      </c>
      <c r="AA44" s="35">
        <f t="shared" ca="1" si="16"/>
        <v>4.0305817301200069</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58">
        <f t="shared" si="12"/>
        <v>1009.2424439729974</v>
      </c>
      <c r="B45" s="58">
        <f t="shared" si="13"/>
        <v>71.047447426738415</v>
      </c>
      <c r="C45" s="7" t="str">
        <f t="shared" si="14"/>
        <v>Manufactured</v>
      </c>
      <c r="D45" s="7" t="s">
        <v>483</v>
      </c>
      <c r="E45" s="29">
        <f ca="1">VLOOKUP($C45,$D$29:$Y$30,E$27,FALSE)*$C$36*$A45/8760/1000*88%*IF($C74="Manufactured",IF(RIGHT($D74,4)&lt;&gt;"ered",'HVAC weighting'!$G$17,'HVAC weighting'!$G$18),IF(RIGHT($D74,4)&lt;&gt;"ered",'HVAC weighting'!$G$23,'HVAC weighting'!$G$24))*IFERROR(VLOOKUP(RIGHT($D45,4),'HVAC weighting'!$A$3:$C$8,MATCH($C45,'HVAC weighting'!$B$3:$C$3,0)+1,FALSE),1)</f>
        <v>2.4690010088186692E-4</v>
      </c>
      <c r="F45" s="29">
        <f ca="1">VLOOKUP($C45,$D$29:$Y$30,F$27,FALSE)*$C$36*$A45/8760/1000*88%*IF($C74="Manufactured",IF(RIGHT($D74,4)&lt;&gt;"ered",'HVAC weighting'!$G$17,'HVAC weighting'!$G$18),IF(RIGHT($D74,4)&lt;&gt;"ered",'HVAC weighting'!$G$23,'HVAC weighting'!$G$24))*IFERROR(VLOOKUP(RIGHT($D45,4),'HVAC weighting'!$A$3:$C$8,MATCH($C45,'HVAC weighting'!$B$3:$C$3,0)+1,FALSE),1)</f>
        <v>6.3915499013988324E-4</v>
      </c>
      <c r="G45" s="29">
        <f ca="1">VLOOKUP($C45,$D$29:$Y$30,G$27,FALSE)*$C$36*$A45/8760/1000*88%*IF($C74="Manufactured",IF(RIGHT($D74,4)&lt;&gt;"ered",'HVAC weighting'!$G$17,'HVAC weighting'!$G$18),IF(RIGHT($D74,4)&lt;&gt;"ered",'HVAC weighting'!$G$23,'HVAC weighting'!$G$24))*IFERROR(VLOOKUP(RIGHT($D45,4),'HVAC weighting'!$A$3:$C$8,MATCH($C45,'HVAC weighting'!$B$3:$C$3,0)+1,FALSE),1)</f>
        <v>1.4712654842315746E-3</v>
      </c>
      <c r="H45" s="29">
        <f ca="1">VLOOKUP($C45,$D$29:$Y$30,H$27,FALSE)*$C$36*$A45/8760/1000*88%*IF($C74="Manufactured",IF(RIGHT($D74,4)&lt;&gt;"ered",'HVAC weighting'!$G$17,'HVAC weighting'!$G$18),IF(RIGHT($D74,4)&lt;&gt;"ered",'HVAC weighting'!$G$23,'HVAC weighting'!$G$24))*IFERROR(VLOOKUP(RIGHT($D45,4),'HVAC weighting'!$A$3:$C$8,MATCH($C45,'HVAC weighting'!$B$3:$C$3,0)+1,FALSE),1)</f>
        <v>2.994186630674584E-3</v>
      </c>
      <c r="I45" s="29">
        <f ca="1">VLOOKUP($C45,$D$29:$Y$30,I$27,FALSE)*$C$36*$A45/8760/1000*88%*IF($C74="Manufactured",IF(RIGHT($D74,4)&lt;&gt;"ered",'HVAC weighting'!$G$17,'HVAC weighting'!$G$18),IF(RIGHT($D74,4)&lt;&gt;"ered",'HVAC weighting'!$G$23,'HVAC weighting'!$G$24))*IFERROR(VLOOKUP(RIGHT($D45,4),'HVAC weighting'!$A$3:$C$8,MATCH($C45,'HVAC weighting'!$B$3:$C$3,0)+1,FALSE),1)</f>
        <v>5.1174506518643368E-3</v>
      </c>
      <c r="J45" s="29">
        <f ca="1">VLOOKUP($C45,$D$29:$Y$30,J$27,FALSE)*$C$36*$A45/8760/1000*88%*IF($C74="Manufactured",IF(RIGHT($D74,4)&lt;&gt;"ered",'HVAC weighting'!$G$17,'HVAC weighting'!$G$18),IF(RIGHT($D74,4)&lt;&gt;"ered",'HVAC weighting'!$G$23,'HVAC weighting'!$G$24))*IFERROR(VLOOKUP(RIGHT($D45,4),'HVAC weighting'!$A$3:$C$8,MATCH($C45,'HVAC weighting'!$B$3:$C$3,0)+1,FALSE),1)</f>
        <v>8.0882466285548127E-3</v>
      </c>
      <c r="K45" s="29">
        <f ca="1">VLOOKUP($C45,$D$29:$Y$30,K$27,FALSE)*$C$36*$A45/8760/1000*88%*IF($C74="Manufactured",IF(RIGHT($D74,4)&lt;&gt;"ered",'HVAC weighting'!$G$17,'HVAC weighting'!$G$18),IF(RIGHT($D74,4)&lt;&gt;"ered",'HVAC weighting'!$G$23,'HVAC weighting'!$G$24))*IFERROR(VLOOKUP(RIGHT($D45,4),'HVAC weighting'!$A$3:$C$8,MATCH($C45,'HVAC weighting'!$B$3:$C$3,0)+1,FALSE),1)</f>
        <v>1.2011718666657975E-2</v>
      </c>
      <c r="L45" s="29">
        <f ca="1">VLOOKUP($C45,$D$29:$Y$30,L$27,FALSE)*$C$36*$A45/8760/1000*88%*IF($C74="Manufactured",IF(RIGHT($D74,4)&lt;&gt;"ered",'HVAC weighting'!$G$17,'HVAC weighting'!$G$18),IF(RIGHT($D74,4)&lt;&gt;"ered",'HVAC weighting'!$G$23,'HVAC weighting'!$G$24))*IFERROR(VLOOKUP(RIGHT($D45,4),'HVAC weighting'!$A$3:$C$8,MATCH($C45,'HVAC weighting'!$B$3:$C$3,0)+1,FALSE),1)</f>
        <v>1.6651105802641012E-2</v>
      </c>
      <c r="M45" s="29">
        <f ca="1">VLOOKUP($C45,$D$29:$Y$30,M$27,FALSE)*$C$36*$A45/8760/1000*88%*IF($C74="Manufactured",IF(RIGHT($D74,4)&lt;&gt;"ered",'HVAC weighting'!$G$17,'HVAC weighting'!$G$18),IF(RIGHT($D74,4)&lt;&gt;"ered",'HVAC weighting'!$G$23,'HVAC weighting'!$G$24))*IFERROR(VLOOKUP(RIGHT($D45,4),'HVAC weighting'!$A$3:$C$8,MATCH($C45,'HVAC weighting'!$B$3:$C$3,0)+1,FALSE),1)</f>
        <v>2.1692899556164092E-2</v>
      </c>
      <c r="N45" s="29">
        <f ca="1">VLOOKUP($C45,$D$29:$Y$30,N$27,FALSE)*$C$36*$A45/8760/1000*88%*IF($C74="Manufactured",IF(RIGHT($D74,4)&lt;&gt;"ered",'HVAC weighting'!$G$17,'HVAC weighting'!$G$18),IF(RIGHT($D74,4)&lt;&gt;"ered",'HVAC weighting'!$G$23,'HVAC weighting'!$G$24))*IFERROR(VLOOKUP(RIGHT($D45,4),'HVAC weighting'!$A$3:$C$8,MATCH($C45,'HVAC weighting'!$B$3:$C$3,0)+1,FALSE),1)</f>
        <v>2.6660130947356104E-2</v>
      </c>
      <c r="O45" s="29">
        <f ca="1">VLOOKUP($C45,$D$29:$Y$30,O$27,FALSE)*$C$36*$A45/8760/1000*88%*IF($C74="Manufactured",IF(RIGHT($D74,4)&lt;&gt;"ered",'HVAC weighting'!$G$17,'HVAC weighting'!$G$18),IF(RIGHT($D74,4)&lt;&gt;"ered",'HVAC weighting'!$G$23,'HVAC weighting'!$G$24))*IFERROR(VLOOKUP(RIGHT($D45,4),'HVAC weighting'!$A$3:$C$8,MATCH($C45,'HVAC weighting'!$B$3:$C$3,0)+1,FALSE),1)</f>
        <v>3.1114535975033861E-2</v>
      </c>
      <c r="P45" s="29">
        <f ca="1">VLOOKUP($C45,$D$29:$Y$30,P$27,FALSE)*$C$36*$A45/8760/1000*88%*IF($C74="Manufactured",IF(RIGHT($D74,4)&lt;&gt;"ered",'HVAC weighting'!$G$17,'HVAC weighting'!$G$18),IF(RIGHT($D74,4)&lt;&gt;"ered",'HVAC weighting'!$G$23,'HVAC weighting'!$G$24))*IFERROR(VLOOKUP(RIGHT($D45,4),'HVAC weighting'!$A$3:$C$8,MATCH($C45,'HVAC weighting'!$B$3:$C$3,0)+1,FALSE),1)</f>
        <v>3.5101090086295646E-2</v>
      </c>
      <c r="Q45" s="29">
        <f ca="1">VLOOKUP($C45,$D$29:$Y$30,Q$27,FALSE)*$C$36*$A45/8760/1000*88%*IF($C74="Manufactured",IF(RIGHT($D74,4)&lt;&gt;"ered",'HVAC weighting'!$G$17,'HVAC weighting'!$G$18),IF(RIGHT($D74,4)&lt;&gt;"ered",'HVAC weighting'!$G$23,'HVAC weighting'!$G$24))*IFERROR(VLOOKUP(RIGHT($D45,4),'HVAC weighting'!$A$3:$C$8,MATCH($C45,'HVAC weighting'!$B$3:$C$3,0)+1,FALSE),1)</f>
        <v>3.8465674184540673E-2</v>
      </c>
      <c r="R45" s="29">
        <f ca="1">VLOOKUP($C45,$D$29:$Y$30,R$27,FALSE)*$C$36*$A45/8760/1000*88%*IF($C74="Manufactured",IF(RIGHT($D74,4)&lt;&gt;"ered",'HVAC weighting'!$G$17,'HVAC weighting'!$G$18),IF(RIGHT($D74,4)&lt;&gt;"ered",'HVAC weighting'!$G$23,'HVAC weighting'!$G$24))*IFERROR(VLOOKUP(RIGHT($D45,4),'HVAC weighting'!$A$3:$C$8,MATCH($C45,'HVAC weighting'!$B$3:$C$3,0)+1,FALSE),1)</f>
        <v>4.1089280683733118E-2</v>
      </c>
      <c r="S45" s="29">
        <f ca="1">VLOOKUP($C45,$D$29:$Y$30,S$27,FALSE)*$C$36*$A45/8760/1000*88%*IF($C74="Manufactured",IF(RIGHT($D74,4)&lt;&gt;"ered",'HVAC weighting'!$G$17,'HVAC weighting'!$G$18),IF(RIGHT($D74,4)&lt;&gt;"ered",'HVAC weighting'!$G$23,'HVAC weighting'!$G$24))*IFERROR(VLOOKUP(RIGHT($D45,4),'HVAC weighting'!$A$3:$C$8,MATCH($C45,'HVAC weighting'!$B$3:$C$3,0)+1,FALSE),1)</f>
        <v>4.3006533291568748E-2</v>
      </c>
      <c r="T45" s="29">
        <f ca="1">VLOOKUP($C45,$D$29:$Y$30,T$27,FALSE)*$C$36*$A45/8760/1000*88%*IF($C74="Manufactured",IF(RIGHT($D74,4)&lt;&gt;"ered",'HVAC weighting'!$G$17,'HVAC weighting'!$G$18),IF(RIGHT($D74,4)&lt;&gt;"ered",'HVAC weighting'!$G$23,'HVAC weighting'!$G$24))*IFERROR(VLOOKUP(RIGHT($D45,4),'HVAC weighting'!$A$3:$C$8,MATCH($C45,'HVAC weighting'!$B$3:$C$3,0)+1,FALSE),1)</f>
        <v>4.4316424273900749E-2</v>
      </c>
      <c r="U45" s="29">
        <f ca="1">VLOOKUP($C45,$D$29:$Y$30,U$27,FALSE)*$C$36*$A45/8760/1000*88%*IF($C74="Manufactured",IF(RIGHT($D74,4)&lt;&gt;"ered",'HVAC weighting'!$G$17,'HVAC weighting'!$G$18),IF(RIGHT($D74,4)&lt;&gt;"ered",'HVAC weighting'!$G$23,'HVAC weighting'!$G$24))*IFERROR(VLOOKUP(RIGHT($D45,4),'HVAC weighting'!$A$3:$C$8,MATCH($C45,'HVAC weighting'!$B$3:$C$3,0)+1,FALSE),1)</f>
        <v>4.5173053598744552E-2</v>
      </c>
      <c r="V45" s="29">
        <f ca="1">VLOOKUP($C45,$D$29:$Y$30,V$27,FALSE)*$C$36*$A45/8760/1000*88%*IF($C74="Manufactured",IF(RIGHT($D74,4)&lt;&gt;"ered",'HVAC weighting'!$G$17,'HVAC weighting'!$G$18),IF(RIGHT($D74,4)&lt;&gt;"ered",'HVAC weighting'!$G$23,'HVAC weighting'!$G$24))*IFERROR(VLOOKUP(RIGHT($D45,4),'HVAC weighting'!$A$3:$C$8,MATCH($C45,'HVAC weighting'!$B$3:$C$3,0)+1,FALSE),1)</f>
        <v>4.5742397059798802E-2</v>
      </c>
      <c r="W45" s="29">
        <f ca="1">VLOOKUP($C45,$D$29:$Y$30,W$27,FALSE)*$C$36*$A45/8760/1000*88%*IF($C74="Manufactured",IF(RIGHT($D74,4)&lt;&gt;"ered",'HVAC weighting'!$G$17,'HVAC weighting'!$G$18),IF(RIGHT($D74,4)&lt;&gt;"ered",'HVAC weighting'!$G$23,'HVAC weighting'!$G$24))*IFERROR(VLOOKUP(RIGHT($D45,4),'HVAC weighting'!$A$3:$C$8,MATCH($C45,'HVAC weighting'!$B$3:$C$3,0)+1,FALSE),1)</f>
        <v>4.6099926029398219E-2</v>
      </c>
      <c r="X45" s="29">
        <f ca="1">VLOOKUP($C45,$D$29:$Y$30,X$27,FALSE)*$C$36*$A45/8760/1000*88%*IF($C74="Manufactured",IF(RIGHT($D74,4)&lt;&gt;"ered",'HVAC weighting'!$G$17,'HVAC weighting'!$G$18),IF(RIGHT($D74,4)&lt;&gt;"ered",'HVAC weighting'!$G$23,'HVAC weighting'!$G$24))*IFERROR(VLOOKUP(RIGHT($D45,4),'HVAC weighting'!$A$3:$C$8,MATCH($C45,'HVAC weighting'!$B$3:$C$3,0)+1,FALSE),1)</f>
        <v>4.6305844655445329E-2</v>
      </c>
      <c r="Y45" s="29">
        <f t="shared" ca="1" si="15"/>
        <v>0.51198781929762593</v>
      </c>
      <c r="AA45" s="35">
        <f t="shared" ca="1" si="16"/>
        <v>0.51198781929762593</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58">
        <f t="shared" si="12"/>
        <v>1038.3745091059893</v>
      </c>
      <c r="B46" s="58">
        <f t="shared" si="13"/>
        <v>80.520363180245837</v>
      </c>
      <c r="C46" s="7" t="str">
        <f t="shared" si="14"/>
        <v>Manufactured</v>
      </c>
      <c r="D46" s="7" t="s">
        <v>488</v>
      </c>
      <c r="E46" s="29">
        <f ca="1">VLOOKUP($C46,$D$29:$Y$30,E$27,FALSE)*$C$36*$A46/8760/1000*88%*IF($C75="Manufactured",IF(RIGHT($D75,4)&lt;&gt;"ered",'HVAC weighting'!$G$17,'HVAC weighting'!$G$18),IF(RIGHT($D75,4)&lt;&gt;"ered",'HVAC weighting'!$G$23,'HVAC weighting'!$G$24))*IFERROR(VLOOKUP(RIGHT($D46,4),'HVAC weighting'!$A$3:$C$8,MATCH($C46,'HVAC weighting'!$B$3:$C$3,0)+1,FALSE),1)</f>
        <v>1.0718931734529865E-5</v>
      </c>
      <c r="F46" s="29">
        <f ca="1">VLOOKUP($C46,$D$29:$Y$30,F$27,FALSE)*$C$36*$A46/8760/1000*88%*IF($C75="Manufactured",IF(RIGHT($D75,4)&lt;&gt;"ered",'HVAC weighting'!$G$17,'HVAC weighting'!$G$18),IF(RIGHT($D75,4)&lt;&gt;"ered",'HVAC weighting'!$G$23,'HVAC weighting'!$G$24))*IFERROR(VLOOKUP(RIGHT($D46,4),'HVAC weighting'!$A$3:$C$8,MATCH($C46,'HVAC weighting'!$B$3:$C$3,0)+1,FALSE),1)</f>
        <v>2.7748302583203525E-5</v>
      </c>
      <c r="G46" s="29">
        <f ca="1">VLOOKUP($C46,$D$29:$Y$30,G$27,FALSE)*$C$36*$A46/8760/1000*88%*IF($C75="Manufactured",IF(RIGHT($D75,4)&lt;&gt;"ered",'HVAC weighting'!$G$17,'HVAC weighting'!$G$18),IF(RIGHT($D75,4)&lt;&gt;"ered",'HVAC weighting'!$G$23,'HVAC weighting'!$G$24))*IFERROR(VLOOKUP(RIGHT($D46,4),'HVAC weighting'!$A$3:$C$8,MATCH($C46,'HVAC weighting'!$B$3:$C$3,0)+1,FALSE),1)</f>
        <v>6.3873583820015772E-5</v>
      </c>
      <c r="H46" s="29">
        <f ca="1">VLOOKUP($C46,$D$29:$Y$30,H$27,FALSE)*$C$36*$A46/8760/1000*88%*IF($C75="Manufactured",IF(RIGHT($D75,4)&lt;&gt;"ered",'HVAC weighting'!$G$17,'HVAC weighting'!$G$18),IF(RIGHT($D75,4)&lt;&gt;"ered",'HVAC weighting'!$G$23,'HVAC weighting'!$G$24))*IFERROR(VLOOKUP(RIGHT($D46,4),'HVAC weighting'!$A$3:$C$8,MATCH($C46,'HVAC weighting'!$B$3:$C$3,0)+1,FALSE),1)</f>
        <v>1.2998974880937348E-4</v>
      </c>
      <c r="I46" s="29">
        <f ca="1">VLOOKUP($C46,$D$29:$Y$30,I$27,FALSE)*$C$36*$A46/8760/1000*88%*IF($C75="Manufactured",IF(RIGHT($D75,4)&lt;&gt;"ered",'HVAC weighting'!$G$17,'HVAC weighting'!$G$18),IF(RIGHT($D75,4)&lt;&gt;"ered",'HVAC weighting'!$G$23,'HVAC weighting'!$G$24))*IFERROR(VLOOKUP(RIGHT($D46,4),'HVAC weighting'!$A$3:$C$8,MATCH($C46,'HVAC weighting'!$B$3:$C$3,0)+1,FALSE),1)</f>
        <v>2.2216922551362072E-4</v>
      </c>
      <c r="J46" s="29">
        <f ca="1">VLOOKUP($C46,$D$29:$Y$30,J$27,FALSE)*$C$36*$A46/8760/1000*88%*IF($C75="Manufactured",IF(RIGHT($D75,4)&lt;&gt;"ered",'HVAC weighting'!$G$17,'HVAC weighting'!$G$18),IF(RIGHT($D75,4)&lt;&gt;"ered",'HVAC weighting'!$G$23,'HVAC weighting'!$G$24))*IFERROR(VLOOKUP(RIGHT($D46,4),'HVAC weighting'!$A$3:$C$8,MATCH($C46,'HVAC weighting'!$B$3:$C$3,0)+1,FALSE),1)</f>
        <v>3.5114349145204296E-4</v>
      </c>
      <c r="K46" s="29">
        <f ca="1">VLOOKUP($C46,$D$29:$Y$30,K$27,FALSE)*$C$36*$A46/8760/1000*88%*IF($C75="Manufactured",IF(RIGHT($D75,4)&lt;&gt;"ered",'HVAC weighting'!$G$17,'HVAC weighting'!$G$18),IF(RIGHT($D75,4)&lt;&gt;"ered",'HVAC weighting'!$G$23,'HVAC weighting'!$G$24))*IFERROR(VLOOKUP(RIGHT($D46,4),'HVAC weighting'!$A$3:$C$8,MATCH($C46,'HVAC weighting'!$B$3:$C$3,0)+1,FALSE),1)</f>
        <v>5.2147727741872678E-4</v>
      </c>
      <c r="L46" s="29">
        <f ca="1">VLOOKUP($C46,$D$29:$Y$30,L$27,FALSE)*$C$36*$A46/8760/1000*88%*IF($C75="Manufactured",IF(RIGHT($D75,4)&lt;&gt;"ered",'HVAC weighting'!$G$17,'HVAC weighting'!$G$18),IF(RIGHT($D75,4)&lt;&gt;"ered",'HVAC weighting'!$G$23,'HVAC weighting'!$G$24))*IFERROR(VLOOKUP(RIGHT($D46,4),'HVAC weighting'!$A$3:$C$8,MATCH($C46,'HVAC weighting'!$B$3:$C$3,0)+1,FALSE),1)</f>
        <v>7.2289183262966999E-4</v>
      </c>
      <c r="M46" s="29">
        <f ca="1">VLOOKUP($C46,$D$29:$Y$30,M$27,FALSE)*$C$36*$A46/8760/1000*88%*IF($C75="Manufactured",IF(RIGHT($D75,4)&lt;&gt;"ered",'HVAC weighting'!$G$17,'HVAC weighting'!$G$18),IF(RIGHT($D75,4)&lt;&gt;"ered",'HVAC weighting'!$G$23,'HVAC weighting'!$G$24))*IFERROR(VLOOKUP(RIGHT($D46,4),'HVAC weighting'!$A$3:$C$8,MATCH($C46,'HVAC weighting'!$B$3:$C$3,0)+1,FALSE),1)</f>
        <v>9.4177648626312662E-4</v>
      </c>
      <c r="N46" s="29">
        <f ca="1">VLOOKUP($C46,$D$29:$Y$30,N$27,FALSE)*$C$36*$A46/8760/1000*88%*IF($C75="Manufactured",IF(RIGHT($D75,4)&lt;&gt;"ered",'HVAC weighting'!$G$17,'HVAC weighting'!$G$18),IF(RIGHT($D75,4)&lt;&gt;"ered",'HVAC weighting'!$G$23,'HVAC weighting'!$G$24))*IFERROR(VLOOKUP(RIGHT($D46,4),'HVAC weighting'!$A$3:$C$8,MATCH($C46,'HVAC weighting'!$B$3:$C$3,0)+1,FALSE),1)</f>
        <v>1.1574240862504432E-3</v>
      </c>
      <c r="O46" s="29">
        <f ca="1">VLOOKUP($C46,$D$29:$Y$30,O$27,FALSE)*$C$36*$A46/8760/1000*88%*IF($C75="Manufactured",IF(RIGHT($D75,4)&lt;&gt;"ered",'HVAC weighting'!$G$17,'HVAC weighting'!$G$18),IF(RIGHT($D75,4)&lt;&gt;"ered",'HVAC weighting'!$G$23,'HVAC weighting'!$G$24))*IFERROR(VLOOKUP(RIGHT($D46,4),'HVAC weighting'!$A$3:$C$8,MATCH($C46,'HVAC weighting'!$B$3:$C$3,0)+1,FALSE),1)</f>
        <v>1.3508078201536937E-3</v>
      </c>
      <c r="P46" s="29">
        <f ca="1">VLOOKUP($C46,$D$29:$Y$30,P$27,FALSE)*$C$36*$A46/8760/1000*88%*IF($C75="Manufactured",IF(RIGHT($D75,4)&lt;&gt;"ered",'HVAC weighting'!$G$17,'HVAC weighting'!$G$18),IF(RIGHT($D75,4)&lt;&gt;"ered",'HVAC weighting'!$G$23,'HVAC weighting'!$G$24))*IFERROR(VLOOKUP(RIGHT($D46,4),'HVAC weighting'!$A$3:$C$8,MATCH($C46,'HVAC weighting'!$B$3:$C$3,0)+1,FALSE),1)</f>
        <v>1.523880253992309E-3</v>
      </c>
      <c r="Q46" s="29">
        <f ca="1">VLOOKUP($C46,$D$29:$Y$30,Q$27,FALSE)*$C$36*$A46/8760/1000*88%*IF($C75="Manufactured",IF(RIGHT($D75,4)&lt;&gt;"ered",'HVAC weighting'!$G$17,'HVAC weighting'!$G$18),IF(RIGHT($D75,4)&lt;&gt;"ered",'HVAC weighting'!$G$23,'HVAC weighting'!$G$24))*IFERROR(VLOOKUP(RIGHT($D46,4),'HVAC weighting'!$A$3:$C$8,MATCH($C46,'HVAC weighting'!$B$3:$C$3,0)+1,FALSE),1)</f>
        <v>1.6699504545931135E-3</v>
      </c>
      <c r="R46" s="29">
        <f ca="1">VLOOKUP($C46,$D$29:$Y$30,R$27,FALSE)*$C$36*$A46/8760/1000*88%*IF($C75="Manufactured",IF(RIGHT($D75,4)&lt;&gt;"ered",'HVAC weighting'!$G$17,'HVAC weighting'!$G$18),IF(RIGHT($D75,4)&lt;&gt;"ered",'HVAC weighting'!$G$23,'HVAC weighting'!$G$24))*IFERROR(VLOOKUP(RIGHT($D46,4),'HVAC weighting'!$A$3:$C$8,MATCH($C46,'HVAC weighting'!$B$3:$C$3,0)+1,FALSE),1)</f>
        <v>1.7838518214320365E-3</v>
      </c>
      <c r="S46" s="29">
        <f ca="1">VLOOKUP($C46,$D$29:$Y$30,S$27,FALSE)*$C$36*$A46/8760/1000*88%*IF($C75="Manufactured",IF(RIGHT($D75,4)&lt;&gt;"ered",'HVAC weighting'!$G$17,'HVAC weighting'!$G$18),IF(RIGHT($D75,4)&lt;&gt;"ered",'HVAC weighting'!$G$23,'HVAC weighting'!$G$24))*IFERROR(VLOOKUP(RIGHT($D46,4),'HVAC weighting'!$A$3:$C$8,MATCH($C46,'HVAC weighting'!$B$3:$C$3,0)+1,FALSE),1)</f>
        <v>1.8670875096631749E-3</v>
      </c>
      <c r="T46" s="29">
        <f ca="1">VLOOKUP($C46,$D$29:$Y$30,T$27,FALSE)*$C$36*$A46/8760/1000*88%*IF($C75="Manufactured",IF(RIGHT($D75,4)&lt;&gt;"ered",'HVAC weighting'!$G$17,'HVAC weighting'!$G$18),IF(RIGHT($D75,4)&lt;&gt;"ered",'HVAC weighting'!$G$23,'HVAC weighting'!$G$24))*IFERROR(VLOOKUP(RIGHT($D46,4),'HVAC weighting'!$A$3:$C$8,MATCH($C46,'HVAC weighting'!$B$3:$C$3,0)+1,FALSE),1)</f>
        <v>1.9239551738283295E-3</v>
      </c>
      <c r="U46" s="29">
        <f ca="1">VLOOKUP($C46,$D$29:$Y$30,U$27,FALSE)*$C$36*$A46/8760/1000*88%*IF($C75="Manufactured",IF(RIGHT($D75,4)&lt;&gt;"ered",'HVAC weighting'!$G$17,'HVAC weighting'!$G$18),IF(RIGHT($D75,4)&lt;&gt;"ered",'HVAC weighting'!$G$23,'HVAC weighting'!$G$24))*IFERROR(VLOOKUP(RIGHT($D46,4),'HVAC weighting'!$A$3:$C$8,MATCH($C46,'HVAC weighting'!$B$3:$C$3,0)+1,FALSE),1)</f>
        <v>1.961144916651442E-3</v>
      </c>
      <c r="V46" s="29">
        <f ca="1">VLOOKUP($C46,$D$29:$Y$30,V$27,FALSE)*$C$36*$A46/8760/1000*88%*IF($C75="Manufactured",IF(RIGHT($D75,4)&lt;&gt;"ered",'HVAC weighting'!$G$17,'HVAC weighting'!$G$18),IF(RIGHT($D75,4)&lt;&gt;"ered",'HVAC weighting'!$G$23,'HVAC weighting'!$G$24))*IFERROR(VLOOKUP(RIGHT($D46,4),'HVAC weighting'!$A$3:$C$8,MATCH($C46,'HVAC weighting'!$B$3:$C$3,0)+1,FALSE),1)</f>
        <v>1.9858624184699671E-3</v>
      </c>
      <c r="W46" s="29">
        <f ca="1">VLOOKUP($C46,$D$29:$Y$30,W$27,FALSE)*$C$36*$A46/8760/1000*88%*IF($C75="Manufactured",IF(RIGHT($D75,4)&lt;&gt;"ered",'HVAC weighting'!$G$17,'HVAC weighting'!$G$18),IF(RIGHT($D75,4)&lt;&gt;"ered",'HVAC weighting'!$G$23,'HVAC weighting'!$G$24))*IFERROR(VLOOKUP(RIGHT($D46,4),'HVAC weighting'!$A$3:$C$8,MATCH($C46,'HVAC weighting'!$B$3:$C$3,0)+1,FALSE),1)</f>
        <v>2.0013841967299385E-3</v>
      </c>
      <c r="X46" s="29">
        <f ca="1">VLOOKUP($C46,$D$29:$Y$30,X$27,FALSE)*$C$36*$A46/8760/1000*88%*IF($C75="Manufactured",IF(RIGHT($D75,4)&lt;&gt;"ered",'HVAC weighting'!$G$17,'HVAC weighting'!$G$18),IF(RIGHT($D75,4)&lt;&gt;"ered",'HVAC weighting'!$G$23,'HVAC weighting'!$G$24))*IFERROR(VLOOKUP(RIGHT($D46,4),'HVAC weighting'!$A$3:$C$8,MATCH($C46,'HVAC weighting'!$B$3:$C$3,0)+1,FALSE),1)</f>
        <v>2.0103239569308593E-3</v>
      </c>
      <c r="Y46" s="29">
        <f t="shared" ca="1" si="15"/>
        <v>2.2227461488919617E-2</v>
      </c>
      <c r="AA46" s="35">
        <f t="shared" ca="1" si="16"/>
        <v>2.2227461488919617E-2</v>
      </c>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58">
        <f t="shared" si="12"/>
        <v>1026.0267452906901</v>
      </c>
      <c r="B47" s="58">
        <f t="shared" si="13"/>
        <v>81.814022161149751</v>
      </c>
      <c r="C47" s="7" t="str">
        <f t="shared" si="14"/>
        <v>Single Family</v>
      </c>
      <c r="D47" s="7" t="s">
        <v>476</v>
      </c>
      <c r="E47" s="29">
        <f ca="1">VLOOKUP($C47,$D$29:$Y$30,E$27,FALSE)*$C$36*$A47/8760/1000*88%*IF($C76="Manufactured",IF(RIGHT($D76,4)&lt;&gt;"ered",'HVAC weighting'!$G$17,'HVAC weighting'!$G$18),IF(RIGHT($D76,4)&lt;&gt;"ered",'HVAC weighting'!$G$23,'HVAC weighting'!$G$24))*IFERROR(VLOOKUP(RIGHT($D47,4),'HVAC weighting'!$A$3:$C$8,MATCH($C47,'HVAC weighting'!$B$3:$C$3,0)+1,FALSE),1)</f>
        <v>8.4202783394296435E-4</v>
      </c>
      <c r="F47" s="29">
        <f ca="1">VLOOKUP($C47,$D$29:$Y$30,F$27,FALSE)*$C$36*$A47/8760/1000*88%*IF($C76="Manufactured",IF(RIGHT($D76,4)&lt;&gt;"ered",'HVAC weighting'!$G$17,'HVAC weighting'!$G$18),IF(RIGHT($D76,4)&lt;&gt;"ered",'HVAC weighting'!$G$23,'HVAC weighting'!$G$24))*IFERROR(VLOOKUP(RIGHT($D47,4),'HVAC weighting'!$A$3:$C$8,MATCH($C47,'HVAC weighting'!$B$3:$C$3,0)+1,FALSE),1)</f>
        <v>2.0715116210133755E-3</v>
      </c>
      <c r="G47" s="29">
        <f ca="1">VLOOKUP($C47,$D$29:$Y$30,G$27,FALSE)*$C$36*$A47/8760/1000*88%*IF($C76="Manufactured",IF(RIGHT($D76,4)&lt;&gt;"ered",'HVAC weighting'!$G$17,'HVAC weighting'!$G$18),IF(RIGHT($D76,4)&lt;&gt;"ered",'HVAC weighting'!$G$23,'HVAC weighting'!$G$24))*IFERROR(VLOOKUP(RIGHT($D47,4),'HVAC weighting'!$A$3:$C$8,MATCH($C47,'HVAC weighting'!$B$3:$C$3,0)+1,FALSE),1)</f>
        <v>4.3635196547114532E-3</v>
      </c>
      <c r="H47" s="29">
        <f ca="1">VLOOKUP($C47,$D$29:$Y$30,H$27,FALSE)*$C$36*$A47/8760/1000*88%*IF($C76="Manufactured",IF(RIGHT($D76,4)&lt;&gt;"ered",'HVAC weighting'!$G$17,'HVAC weighting'!$G$18),IF(RIGHT($D76,4)&lt;&gt;"ered",'HVAC weighting'!$G$23,'HVAC weighting'!$G$24))*IFERROR(VLOOKUP(RIGHT($D47,4),'HVAC weighting'!$A$3:$C$8,MATCH($C47,'HVAC weighting'!$B$3:$C$3,0)+1,FALSE),1)</f>
        <v>8.2850549044229012E-3</v>
      </c>
      <c r="I47" s="29">
        <f ca="1">VLOOKUP($C47,$D$29:$Y$30,I$27,FALSE)*$C$36*$A47/8760/1000*88%*IF($C76="Manufactured",IF(RIGHT($D76,4)&lt;&gt;"ered",'HVAC weighting'!$G$17,'HVAC weighting'!$G$18),IF(RIGHT($D76,4)&lt;&gt;"ered",'HVAC weighting'!$G$23,'HVAC weighting'!$G$24))*IFERROR(VLOOKUP(RIGHT($D47,4),'HVAC weighting'!$A$3:$C$8,MATCH($C47,'HVAC weighting'!$B$3:$C$3,0)+1,FALSE),1)</f>
        <v>1.4213490867279922E-2</v>
      </c>
      <c r="J47" s="29">
        <f ca="1">VLOOKUP($C47,$D$29:$Y$30,J$27,FALSE)*$C$36*$A47/8760/1000*88%*IF($C76="Manufactured",IF(RIGHT($D76,4)&lt;&gt;"ered",'HVAC weighting'!$G$17,'HVAC weighting'!$G$18),IF(RIGHT($D76,4)&lt;&gt;"ered",'HVAC weighting'!$G$23,'HVAC weighting'!$G$24))*IFERROR(VLOOKUP(RIGHT($D47,4),'HVAC weighting'!$A$3:$C$8,MATCH($C47,'HVAC weighting'!$B$3:$C$3,0)+1,FALSE),1)</f>
        <v>2.1747738470753095E-2</v>
      </c>
      <c r="K47" s="29">
        <f ca="1">VLOOKUP($C47,$D$29:$Y$30,K$27,FALSE)*$C$36*$A47/8760/1000*88%*IF($C76="Manufactured",IF(RIGHT($D76,4)&lt;&gt;"ered",'HVAC weighting'!$G$17,'HVAC weighting'!$G$18),IF(RIGHT($D76,4)&lt;&gt;"ered",'HVAC weighting'!$G$23,'HVAC weighting'!$G$24))*IFERROR(VLOOKUP(RIGHT($D47,4),'HVAC weighting'!$A$3:$C$8,MATCH($C47,'HVAC weighting'!$B$3:$C$3,0)+1,FALSE),1)</f>
        <v>3.1293737612638643E-2</v>
      </c>
      <c r="L47" s="29">
        <f ca="1">VLOOKUP($C47,$D$29:$Y$30,L$27,FALSE)*$C$36*$A47/8760/1000*88%*IF($C76="Manufactured",IF(RIGHT($D76,4)&lt;&gt;"ered",'HVAC weighting'!$G$17,'HVAC weighting'!$G$18),IF(RIGHT($D76,4)&lt;&gt;"ered",'HVAC weighting'!$G$23,'HVAC weighting'!$G$24))*IFERROR(VLOOKUP(RIGHT($D47,4),'HVAC weighting'!$A$3:$C$8,MATCH($C47,'HVAC weighting'!$B$3:$C$3,0)+1,FALSE),1)</f>
        <v>4.2931208962298469E-2</v>
      </c>
      <c r="M47" s="29">
        <f ca="1">VLOOKUP($C47,$D$29:$Y$30,M$27,FALSE)*$C$36*$A47/8760/1000*88%*IF($C76="Manufactured",IF(RIGHT($D76,4)&lt;&gt;"ered",'HVAC weighting'!$G$17,'HVAC weighting'!$G$18),IF(RIGHT($D76,4)&lt;&gt;"ered",'HVAC weighting'!$G$23,'HVAC weighting'!$G$24))*IFERROR(VLOOKUP(RIGHT($D47,4),'HVAC weighting'!$A$3:$C$8,MATCH($C47,'HVAC weighting'!$B$3:$C$3,0)+1,FALSE),1)</f>
        <v>5.5051393972923503E-2</v>
      </c>
      <c r="N47" s="29">
        <f ca="1">VLOOKUP($C47,$D$29:$Y$30,N$27,FALSE)*$C$36*$A47/8760/1000*88%*IF($C76="Manufactured",IF(RIGHT($D76,4)&lt;&gt;"ered",'HVAC weighting'!$G$17,'HVAC weighting'!$G$18),IF(RIGHT($D76,4)&lt;&gt;"ered",'HVAC weighting'!$G$23,'HVAC weighting'!$G$24))*IFERROR(VLOOKUP(RIGHT($D47,4),'HVAC weighting'!$A$3:$C$8,MATCH($C47,'HVAC weighting'!$B$3:$C$3,0)+1,FALSE),1)</f>
        <v>6.8815927761756296E-2</v>
      </c>
      <c r="O47" s="29">
        <f ca="1">VLOOKUP($C47,$D$29:$Y$30,O$27,FALSE)*$C$36*$A47/8760/1000*88%*IF($C76="Manufactured",IF(RIGHT($D76,4)&lt;&gt;"ered",'HVAC weighting'!$G$17,'HVAC weighting'!$G$18),IF(RIGHT($D76,4)&lt;&gt;"ered",'HVAC weighting'!$G$23,'HVAC weighting'!$G$24))*IFERROR(VLOOKUP(RIGHT($D47,4),'HVAC weighting'!$A$3:$C$8,MATCH($C47,'HVAC weighting'!$B$3:$C$3,0)+1,FALSE),1)</f>
        <v>8.1313542267784381E-2</v>
      </c>
      <c r="P47" s="29">
        <f ca="1">VLOOKUP($C47,$D$29:$Y$30,P$27,FALSE)*$C$36*$A47/8760/1000*88%*IF($C76="Manufactured",IF(RIGHT($D76,4)&lt;&gt;"ered",'HVAC weighting'!$G$17,'HVAC weighting'!$G$18),IF(RIGHT($D76,4)&lt;&gt;"ered",'HVAC weighting'!$G$23,'HVAC weighting'!$G$24))*IFERROR(VLOOKUP(RIGHT($D47,4),'HVAC weighting'!$A$3:$C$8,MATCH($C47,'HVAC weighting'!$B$3:$C$3,0)+1,FALSE),1)</f>
        <v>9.0649490716176673E-2</v>
      </c>
      <c r="Q47" s="29">
        <f ca="1">VLOOKUP($C47,$D$29:$Y$30,Q$27,FALSE)*$C$36*$A47/8760/1000*88%*IF($C76="Manufactured",IF(RIGHT($D76,4)&lt;&gt;"ered",'HVAC weighting'!$G$17,'HVAC weighting'!$G$18),IF(RIGHT($D76,4)&lt;&gt;"ered",'HVAC weighting'!$G$23,'HVAC weighting'!$G$24))*IFERROR(VLOOKUP(RIGHT($D47,4),'HVAC weighting'!$A$3:$C$8,MATCH($C47,'HVAC weighting'!$B$3:$C$3,0)+1,FALSE),1)</f>
        <v>9.6569701380141065E-2</v>
      </c>
      <c r="R47" s="29">
        <f ca="1">VLOOKUP($C47,$D$29:$Y$30,R$27,FALSE)*$C$36*$A47/8760/1000*88%*IF($C76="Manufactured",IF(RIGHT($D76,4)&lt;&gt;"ered",'HVAC weighting'!$G$17,'HVAC weighting'!$G$18),IF(RIGHT($D76,4)&lt;&gt;"ered",'HVAC weighting'!$G$23,'HVAC weighting'!$G$24))*IFERROR(VLOOKUP(RIGHT($D47,4),'HVAC weighting'!$A$3:$C$8,MATCH($C47,'HVAC weighting'!$B$3:$C$3,0)+1,FALSE),1)</f>
        <v>0.10314871053382997</v>
      </c>
      <c r="S47" s="29">
        <f ca="1">VLOOKUP($C47,$D$29:$Y$30,S$27,FALSE)*$C$36*$A47/8760/1000*88%*IF($C76="Manufactured",IF(RIGHT($D76,4)&lt;&gt;"ered",'HVAC weighting'!$G$17,'HVAC weighting'!$G$18),IF(RIGHT($D76,4)&lt;&gt;"ered",'HVAC weighting'!$G$23,'HVAC weighting'!$G$24))*IFERROR(VLOOKUP(RIGHT($D47,4),'HVAC weighting'!$A$3:$C$8,MATCH($C47,'HVAC weighting'!$B$3:$C$3,0)+1,FALSE),1)</f>
        <v>0.10918196653057714</v>
      </c>
      <c r="T47" s="29">
        <f ca="1">VLOOKUP($C47,$D$29:$Y$30,T$27,FALSE)*$C$36*$A47/8760/1000*88%*IF($C76="Manufactured",IF(RIGHT($D76,4)&lt;&gt;"ered",'HVAC weighting'!$G$17,'HVAC weighting'!$G$18),IF(RIGHT($D76,4)&lt;&gt;"ered",'HVAC weighting'!$G$23,'HVAC weighting'!$G$24))*IFERROR(VLOOKUP(RIGHT($D47,4),'HVAC weighting'!$A$3:$C$8,MATCH($C47,'HVAC weighting'!$B$3:$C$3,0)+1,FALSE),1)</f>
        <v>0.1120826736118295</v>
      </c>
      <c r="U47" s="29">
        <f ca="1">VLOOKUP($C47,$D$29:$Y$30,U$27,FALSE)*$C$36*$A47/8760/1000*88%*IF($C76="Manufactured",IF(RIGHT($D76,4)&lt;&gt;"ered",'HVAC weighting'!$G$17,'HVAC weighting'!$G$18),IF(RIGHT($D76,4)&lt;&gt;"ered",'HVAC weighting'!$G$23,'HVAC weighting'!$G$24))*IFERROR(VLOOKUP(RIGHT($D47,4),'HVAC weighting'!$A$3:$C$8,MATCH($C47,'HVAC weighting'!$B$3:$C$3,0)+1,FALSE),1)</f>
        <v>0.11054492442155069</v>
      </c>
      <c r="V47" s="29">
        <f ca="1">VLOOKUP($C47,$D$29:$Y$30,V$27,FALSE)*$C$36*$A47/8760/1000*88%*IF($C76="Manufactured",IF(RIGHT($D76,4)&lt;&gt;"ered",'HVAC weighting'!$G$17,'HVAC weighting'!$G$18),IF(RIGHT($D76,4)&lt;&gt;"ered",'HVAC weighting'!$G$23,'HVAC weighting'!$G$24))*IFERROR(VLOOKUP(RIGHT($D47,4),'HVAC weighting'!$A$3:$C$8,MATCH($C47,'HVAC weighting'!$B$3:$C$3,0)+1,FALSE),1)</f>
        <v>0.1117343360020138</v>
      </c>
      <c r="W47" s="29">
        <f ca="1">VLOOKUP($C47,$D$29:$Y$30,W$27,FALSE)*$C$36*$A47/8760/1000*88%*IF($C76="Manufactured",IF(RIGHT($D76,4)&lt;&gt;"ered",'HVAC weighting'!$G$17,'HVAC weighting'!$G$18),IF(RIGHT($D76,4)&lt;&gt;"ered",'HVAC weighting'!$G$23,'HVAC weighting'!$G$24))*IFERROR(VLOOKUP(RIGHT($D47,4),'HVAC weighting'!$A$3:$C$8,MATCH($C47,'HVAC weighting'!$B$3:$C$3,0)+1,FALSE),1)</f>
        <v>0.11285936326255895</v>
      </c>
      <c r="X47" s="29">
        <f ca="1">VLOOKUP($C47,$D$29:$Y$30,X$27,FALSE)*$C$36*$A47/8760/1000*88%*IF($C76="Manufactured",IF(RIGHT($D76,4)&lt;&gt;"ered",'HVAC weighting'!$G$17,'HVAC weighting'!$G$18),IF(RIGHT($D76,4)&lt;&gt;"ered",'HVAC weighting'!$G$23,'HVAC weighting'!$G$24))*IFERROR(VLOOKUP(RIGHT($D47,4),'HVAC weighting'!$A$3:$C$8,MATCH($C47,'HVAC weighting'!$B$3:$C$3,0)+1,FALSE),1)</f>
        <v>0.11411962374909544</v>
      </c>
      <c r="Y47" s="29">
        <f t="shared" ca="1" si="15"/>
        <v>1.2918199441372982</v>
      </c>
      <c r="AA47" s="35">
        <f t="shared" ca="1" si="16"/>
        <v>1.2918199441372982</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58">
        <f t="shared" si="12"/>
        <v>998.36291367990407</v>
      </c>
      <c r="B48" s="58">
        <f t="shared" si="13"/>
        <v>88.894732127246641</v>
      </c>
      <c r="C48" s="7" t="str">
        <f t="shared" si="14"/>
        <v>Manufactured</v>
      </c>
      <c r="D48" s="7" t="s">
        <v>486</v>
      </c>
      <c r="E48" s="29">
        <f ca="1">VLOOKUP($C48,$D$29:$Y$30,E$27,FALSE)*$C$36*$A48/8760/1000*88%*IF($C77="Manufactured",IF(RIGHT($D77,4)&lt;&gt;"ered",'HVAC weighting'!$G$17,'HVAC weighting'!$G$18),IF(RIGHT($D77,4)&lt;&gt;"ered",'HVAC weighting'!$G$23,'HVAC weighting'!$G$24))*IFERROR(VLOOKUP(RIGHT($D48,4),'HVAC weighting'!$A$3:$C$8,MATCH($C48,'HVAC weighting'!$B$3:$C$3,0)+1,FALSE),1)</f>
        <v>1.3201713566235969E-4</v>
      </c>
      <c r="F48" s="29">
        <f ca="1">VLOOKUP($C48,$D$29:$Y$30,F$27,FALSE)*$C$36*$A48/8760/1000*88%*IF($C77="Manufactured",IF(RIGHT($D77,4)&lt;&gt;"ered",'HVAC weighting'!$G$17,'HVAC weighting'!$G$18),IF(RIGHT($D77,4)&lt;&gt;"ered",'HVAC weighting'!$G$23,'HVAC weighting'!$G$24))*IFERROR(VLOOKUP(RIGHT($D48,4),'HVAC weighting'!$A$3:$C$8,MATCH($C48,'HVAC weighting'!$B$3:$C$3,0)+1,FALSE),1)</f>
        <v>3.4175527163086798E-4</v>
      </c>
      <c r="G48" s="29">
        <f ca="1">VLOOKUP($C48,$D$29:$Y$30,G$27,FALSE)*$C$36*$A48/8760/1000*88%*IF($C77="Manufactured",IF(RIGHT($D77,4)&lt;&gt;"ered",'HVAC weighting'!$G$17,'HVAC weighting'!$G$18),IF(RIGHT($D77,4)&lt;&gt;"ered",'HVAC weighting'!$G$23,'HVAC weighting'!$G$24))*IFERROR(VLOOKUP(RIGHT($D48,4),'HVAC weighting'!$A$3:$C$8,MATCH($C48,'HVAC weighting'!$B$3:$C$3,0)+1,FALSE),1)</f>
        <v>7.8668357904025492E-4</v>
      </c>
      <c r="H48" s="29">
        <f ca="1">VLOOKUP($C48,$D$29:$Y$30,H$27,FALSE)*$C$36*$A48/8760/1000*88%*IF($C77="Manufactured",IF(RIGHT($D77,4)&lt;&gt;"ered",'HVAC weighting'!$G$17,'HVAC weighting'!$G$18),IF(RIGHT($D77,4)&lt;&gt;"ered",'HVAC weighting'!$G$23,'HVAC weighting'!$G$24))*IFERROR(VLOOKUP(RIGHT($D48,4),'HVAC weighting'!$A$3:$C$8,MATCH($C48,'HVAC weighting'!$B$3:$C$3,0)+1,FALSE),1)</f>
        <v>1.6009873677990914E-3</v>
      </c>
      <c r="I48" s="29">
        <f ca="1">VLOOKUP($C48,$D$29:$Y$30,I$27,FALSE)*$C$36*$A48/8760/1000*88%*IF($C77="Manufactured",IF(RIGHT($D77,4)&lt;&gt;"ered",'HVAC weighting'!$G$17,'HVAC weighting'!$G$18),IF(RIGHT($D77,4)&lt;&gt;"ered",'HVAC weighting'!$G$23,'HVAC weighting'!$G$24))*IFERROR(VLOOKUP(RIGHT($D48,4),'HVAC weighting'!$A$3:$C$8,MATCH($C48,'HVAC weighting'!$B$3:$C$3,0)+1,FALSE),1)</f>
        <v>2.7362936448367507E-3</v>
      </c>
      <c r="J48" s="29">
        <f ca="1">VLOOKUP($C48,$D$29:$Y$30,J$27,FALSE)*$C$36*$A48/8760/1000*88%*IF($C77="Manufactured",IF(RIGHT($D77,4)&lt;&gt;"ered",'HVAC weighting'!$G$17,'HVAC weighting'!$G$18),IF(RIGHT($D77,4)&lt;&gt;"ered",'HVAC weighting'!$G$23,'HVAC weighting'!$G$24))*IFERROR(VLOOKUP(RIGHT($D48,4),'HVAC weighting'!$A$3:$C$8,MATCH($C48,'HVAC weighting'!$B$3:$C$3,0)+1,FALSE),1)</f>
        <v>4.3247740629455749E-3</v>
      </c>
      <c r="K48" s="29">
        <f ca="1">VLOOKUP($C48,$D$29:$Y$30,K$27,FALSE)*$C$36*$A48/8760/1000*88%*IF($C77="Manufactured",IF(RIGHT($D77,4)&lt;&gt;"ered",'HVAC weighting'!$G$17,'HVAC weighting'!$G$18),IF(RIGHT($D77,4)&lt;&gt;"ered",'HVAC weighting'!$G$23,'HVAC weighting'!$G$24))*IFERROR(VLOOKUP(RIGHT($D48,4),'HVAC weighting'!$A$3:$C$8,MATCH($C48,'HVAC weighting'!$B$3:$C$3,0)+1,FALSE),1)</f>
        <v>6.4226490272396098E-3</v>
      </c>
      <c r="L48" s="29">
        <f ca="1">VLOOKUP($C48,$D$29:$Y$30,L$27,FALSE)*$C$36*$A48/8760/1000*88%*IF($C77="Manufactured",IF(RIGHT($D77,4)&lt;&gt;"ered",'HVAC weighting'!$G$17,'HVAC weighting'!$G$18),IF(RIGHT($D77,4)&lt;&gt;"ered",'HVAC weighting'!$G$23,'HVAC weighting'!$G$24))*IFERROR(VLOOKUP(RIGHT($D48,4),'HVAC weighting'!$A$3:$C$8,MATCH($C48,'HVAC weighting'!$B$3:$C$3,0)+1,FALSE),1)</f>
        <v>8.9033227844946914E-3</v>
      </c>
      <c r="M48" s="29">
        <f ca="1">VLOOKUP($C48,$D$29:$Y$30,M$27,FALSE)*$C$36*$A48/8760/1000*88%*IF($C77="Manufactured",IF(RIGHT($D77,4)&lt;&gt;"ered",'HVAC weighting'!$G$17,'HVAC weighting'!$G$18),IF(RIGHT($D77,4)&lt;&gt;"ered",'HVAC weighting'!$G$23,'HVAC weighting'!$G$24))*IFERROR(VLOOKUP(RIGHT($D48,4),'HVAC weighting'!$A$3:$C$8,MATCH($C48,'HVAC weighting'!$B$3:$C$3,0)+1,FALSE),1)</f>
        <v>1.1599162792510569E-2</v>
      </c>
      <c r="N48" s="29">
        <f ca="1">VLOOKUP($C48,$D$29:$Y$30,N$27,FALSE)*$C$36*$A48/8760/1000*88%*IF($C77="Manufactured",IF(RIGHT($D77,4)&lt;&gt;"ered",'HVAC weighting'!$G$17,'HVAC weighting'!$G$18),IF(RIGHT($D77,4)&lt;&gt;"ered",'HVAC weighting'!$G$23,'HVAC weighting'!$G$24))*IFERROR(VLOOKUP(RIGHT($D48,4),'HVAC weighting'!$A$3:$C$8,MATCH($C48,'HVAC weighting'!$B$3:$C$3,0)+1,FALSE),1)</f>
        <v>1.4255134410566266E-2</v>
      </c>
      <c r="O48" s="29">
        <f ca="1">VLOOKUP($C48,$D$29:$Y$30,O$27,FALSE)*$C$36*$A48/8760/1000*88%*IF($C77="Manufactured",IF(RIGHT($D77,4)&lt;&gt;"ered",'HVAC weighting'!$G$17,'HVAC weighting'!$G$18),IF(RIGHT($D77,4)&lt;&gt;"ered",'HVAC weighting'!$G$23,'HVAC weighting'!$G$24))*IFERROR(VLOOKUP(RIGHT($D48,4),'HVAC weighting'!$A$3:$C$8,MATCH($C48,'HVAC weighting'!$B$3:$C$3,0)+1,FALSE),1)</f>
        <v>1.6636898495447694E-2</v>
      </c>
      <c r="P48" s="29">
        <f ca="1">VLOOKUP($C48,$D$29:$Y$30,P$27,FALSE)*$C$36*$A48/8760/1000*88%*IF($C77="Manufactured",IF(RIGHT($D77,4)&lt;&gt;"ered",'HVAC weighting'!$G$17,'HVAC weighting'!$G$18),IF(RIGHT($D77,4)&lt;&gt;"ered",'HVAC weighting'!$G$23,'HVAC weighting'!$G$24))*IFERROR(VLOOKUP(RIGHT($D48,4),'HVAC weighting'!$A$3:$C$8,MATCH($C48,'HVAC weighting'!$B$3:$C$3,0)+1,FALSE),1)</f>
        <v>1.8768503355275586E-2</v>
      </c>
      <c r="Q48" s="29">
        <f ca="1">VLOOKUP($C48,$D$29:$Y$30,Q$27,FALSE)*$C$36*$A48/8760/1000*88%*IF($C77="Manufactured",IF(RIGHT($D77,4)&lt;&gt;"ered",'HVAC weighting'!$G$17,'HVAC weighting'!$G$18),IF(RIGHT($D77,4)&lt;&gt;"ered",'HVAC weighting'!$G$23,'HVAC weighting'!$G$24))*IFERROR(VLOOKUP(RIGHT($D48,4),'HVAC weighting'!$A$3:$C$8,MATCH($C48,'HVAC weighting'!$B$3:$C$3,0)+1,FALSE),1)</f>
        <v>2.0567541726499088E-2</v>
      </c>
      <c r="R48" s="29">
        <f ca="1">VLOOKUP($C48,$D$29:$Y$30,R$27,FALSE)*$C$36*$A48/8760/1000*88%*IF($C77="Manufactured",IF(RIGHT($D77,4)&lt;&gt;"ered",'HVAC weighting'!$G$17,'HVAC weighting'!$G$18),IF(RIGHT($D77,4)&lt;&gt;"ered",'HVAC weighting'!$G$23,'HVAC weighting'!$G$24))*IFERROR(VLOOKUP(RIGHT($D48,4),'HVAC weighting'!$A$3:$C$8,MATCH($C48,'HVAC weighting'!$B$3:$C$3,0)+1,FALSE),1)</f>
        <v>2.1970380420737848E-2</v>
      </c>
      <c r="S48" s="29">
        <f ca="1">VLOOKUP($C48,$D$29:$Y$30,S$27,FALSE)*$C$36*$A48/8760/1000*88%*IF($C77="Manufactured",IF(RIGHT($D77,4)&lt;&gt;"ered",'HVAC weighting'!$G$17,'HVAC weighting'!$G$18),IF(RIGHT($D77,4)&lt;&gt;"ered",'HVAC weighting'!$G$23,'HVAC weighting'!$G$24))*IFERROR(VLOOKUP(RIGHT($D48,4),'HVAC weighting'!$A$3:$C$8,MATCH($C48,'HVAC weighting'!$B$3:$C$3,0)+1,FALSE),1)</f>
        <v>2.2995532685656343E-2</v>
      </c>
      <c r="T48" s="29">
        <f ca="1">VLOOKUP($C48,$D$29:$Y$30,T$27,FALSE)*$C$36*$A48/8760/1000*88%*IF($C77="Manufactured",IF(RIGHT($D77,4)&lt;&gt;"ered",'HVAC weighting'!$G$17,'HVAC weighting'!$G$18),IF(RIGHT($D77,4)&lt;&gt;"ered",'HVAC weighting'!$G$23,'HVAC weighting'!$G$24))*IFERROR(VLOOKUP(RIGHT($D48,4),'HVAC weighting'!$A$3:$C$8,MATCH($C48,'HVAC weighting'!$B$3:$C$3,0)+1,FALSE),1)</f>
        <v>2.3695929546167005E-2</v>
      </c>
      <c r="U48" s="29">
        <f ca="1">VLOOKUP($C48,$D$29:$Y$30,U$27,FALSE)*$C$36*$A48/8760/1000*88%*IF($C77="Manufactured",IF(RIGHT($D77,4)&lt;&gt;"ered",'HVAC weighting'!$G$17,'HVAC weighting'!$G$18),IF(RIGHT($D77,4)&lt;&gt;"ered",'HVAC weighting'!$G$23,'HVAC weighting'!$G$24))*IFERROR(VLOOKUP(RIGHT($D48,4),'HVAC weighting'!$A$3:$C$8,MATCH($C48,'HVAC weighting'!$B$3:$C$3,0)+1,FALSE),1)</f>
        <v>2.4153968037793096E-2</v>
      </c>
      <c r="V48" s="29">
        <f ca="1">VLOOKUP($C48,$D$29:$Y$30,V$27,FALSE)*$C$36*$A48/8760/1000*88%*IF($C77="Manufactured",IF(RIGHT($D77,4)&lt;&gt;"ered",'HVAC weighting'!$G$17,'HVAC weighting'!$G$18),IF(RIGHT($D77,4)&lt;&gt;"ered",'HVAC weighting'!$G$23,'HVAC weighting'!$G$24))*IFERROR(VLOOKUP(RIGHT($D48,4),'HVAC weighting'!$A$3:$C$8,MATCH($C48,'HVAC weighting'!$B$3:$C$3,0)+1,FALSE),1)</f>
        <v>2.4458395183298558E-2</v>
      </c>
      <c r="W48" s="29">
        <f ca="1">VLOOKUP($C48,$D$29:$Y$30,W$27,FALSE)*$C$36*$A48/8760/1000*88%*IF($C77="Manufactured",IF(RIGHT($D77,4)&lt;&gt;"ered",'HVAC weighting'!$G$17,'HVAC weighting'!$G$18),IF(RIGHT($D77,4)&lt;&gt;"ered",'HVAC weighting'!$G$23,'HVAC weighting'!$G$24))*IFERROR(VLOOKUP(RIGHT($D48,4),'HVAC weighting'!$A$3:$C$8,MATCH($C48,'HVAC weighting'!$B$3:$C$3,0)+1,FALSE),1)</f>
        <v>2.4649565419010255E-2</v>
      </c>
      <c r="X48" s="29">
        <f ca="1">VLOOKUP($C48,$D$29:$Y$30,X$27,FALSE)*$C$36*$A48/8760/1000*88%*IF($C77="Manufactured",IF(RIGHT($D77,4)&lt;&gt;"ered",'HVAC weighting'!$G$17,'HVAC weighting'!$G$18),IF(RIGHT($D77,4)&lt;&gt;"ered",'HVAC weighting'!$G$23,'HVAC weighting'!$G$24))*IFERROR(VLOOKUP(RIGHT($D48,4),'HVAC weighting'!$A$3:$C$8,MATCH($C48,'HVAC weighting'!$B$3:$C$3,0)+1,FALSE),1)</f>
        <v>2.4759669817887252E-2</v>
      </c>
      <c r="Y48" s="29">
        <f t="shared" ca="1" si="15"/>
        <v>0.2737591647644988</v>
      </c>
      <c r="AA48" s="35">
        <f t="shared" ca="1" si="16"/>
        <v>0.2737591647644988</v>
      </c>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58">
        <f t="shared" si="12"/>
        <v>985.78061802533921</v>
      </c>
      <c r="B49" s="58">
        <f t="shared" si="13"/>
        <v>90.414656755049762</v>
      </c>
      <c r="C49" s="7" t="str">
        <f t="shared" si="14"/>
        <v>Single Family</v>
      </c>
      <c r="D49" s="7" t="s">
        <v>474</v>
      </c>
      <c r="E49" s="29">
        <f ca="1">VLOOKUP($C49,$D$29:$Y$30,E$27,FALSE)*$C$36*$A49/8760/1000*88%*IF($C78="Manufactured",IF(RIGHT($D78,4)&lt;&gt;"ered",'HVAC weighting'!$G$17,'HVAC weighting'!$G$18),IF(RIGHT($D78,4)&lt;&gt;"ered",'HVAC weighting'!$G$23,'HVAC weighting'!$G$24))*IFERROR(VLOOKUP(RIGHT($D49,4),'HVAC weighting'!$A$3:$C$8,MATCH($C49,'HVAC weighting'!$B$3:$C$3,0)+1,FALSE),1)</f>
        <v>3.0038460322245165E-4</v>
      </c>
      <c r="F49" s="29">
        <f ca="1">VLOOKUP($C49,$D$29:$Y$30,F$27,FALSE)*$C$36*$A49/8760/1000*88%*IF($C78="Manufactured",IF(RIGHT($D78,4)&lt;&gt;"ered",'HVAC weighting'!$G$17,'HVAC weighting'!$G$18),IF(RIGHT($D78,4)&lt;&gt;"ered",'HVAC weighting'!$G$23,'HVAC weighting'!$G$24))*IFERROR(VLOOKUP(RIGHT($D49,4),'HVAC weighting'!$A$3:$C$8,MATCH($C49,'HVAC weighting'!$B$3:$C$3,0)+1,FALSE),1)</f>
        <v>7.3899005622532574E-4</v>
      </c>
      <c r="G49" s="29">
        <f ca="1">VLOOKUP($C49,$D$29:$Y$30,G$27,FALSE)*$C$36*$A49/8760/1000*88%*IF($C78="Manufactured",IF(RIGHT($D78,4)&lt;&gt;"ered",'HVAC weighting'!$G$17,'HVAC weighting'!$G$18),IF(RIGHT($D78,4)&lt;&gt;"ered",'HVAC weighting'!$G$23,'HVAC weighting'!$G$24))*IFERROR(VLOOKUP(RIGHT($D49,4),'HVAC weighting'!$A$3:$C$8,MATCH($C49,'HVAC weighting'!$B$3:$C$3,0)+1,FALSE),1)</f>
        <v>1.5566398963275279E-3</v>
      </c>
      <c r="H49" s="29">
        <f ca="1">VLOOKUP($C49,$D$29:$Y$30,H$27,FALSE)*$C$36*$A49/8760/1000*88%*IF($C78="Manufactured",IF(RIGHT($D78,4)&lt;&gt;"ered",'HVAC weighting'!$G$17,'HVAC weighting'!$G$18),IF(RIGHT($D78,4)&lt;&gt;"ered",'HVAC weighting'!$G$23,'HVAC weighting'!$G$24))*IFERROR(VLOOKUP(RIGHT($D49,4),'HVAC weighting'!$A$3:$C$8,MATCH($C49,'HVAC weighting'!$B$3:$C$3,0)+1,FALSE),1)</f>
        <v>2.9556064892622951E-3</v>
      </c>
      <c r="I49" s="29">
        <f ca="1">VLOOKUP($C49,$D$29:$Y$30,I$27,FALSE)*$C$36*$A49/8760/1000*88%*IF($C78="Manufactured",IF(RIGHT($D78,4)&lt;&gt;"ered",'HVAC weighting'!$G$17,'HVAC weighting'!$G$18),IF(RIGHT($D78,4)&lt;&gt;"ered",'HVAC weighting'!$G$23,'HVAC weighting'!$G$24))*IFERROR(VLOOKUP(RIGHT($D49,4),'HVAC weighting'!$A$3:$C$8,MATCH($C49,'HVAC weighting'!$B$3:$C$3,0)+1,FALSE),1)</f>
        <v>5.0705138743228515E-3</v>
      </c>
      <c r="J49" s="29">
        <f ca="1">VLOOKUP($C49,$D$29:$Y$30,J$27,FALSE)*$C$36*$A49/8760/1000*88%*IF($C78="Manufactured",IF(RIGHT($D78,4)&lt;&gt;"ered",'HVAC weighting'!$G$17,'HVAC weighting'!$G$18),IF(RIGHT($D78,4)&lt;&gt;"ered",'HVAC weighting'!$G$23,'HVAC weighting'!$G$24))*IFERROR(VLOOKUP(RIGHT($D49,4),'HVAC weighting'!$A$3:$C$8,MATCH($C49,'HVAC weighting'!$B$3:$C$3,0)+1,FALSE),1)</f>
        <v>7.7582777292909688E-3</v>
      </c>
      <c r="K49" s="29">
        <f ca="1">VLOOKUP($C49,$D$29:$Y$30,K$27,FALSE)*$C$36*$A49/8760/1000*88%*IF($C78="Manufactured",IF(RIGHT($D78,4)&lt;&gt;"ered",'HVAC weighting'!$G$17,'HVAC weighting'!$G$18),IF(RIGHT($D78,4)&lt;&gt;"ered",'HVAC weighting'!$G$23,'HVAC weighting'!$G$24))*IFERROR(VLOOKUP(RIGHT($D49,4),'HVAC weighting'!$A$3:$C$8,MATCH($C49,'HVAC weighting'!$B$3:$C$3,0)+1,FALSE),1)</f>
        <v>1.1163712857450148E-2</v>
      </c>
      <c r="L49" s="29">
        <f ca="1">VLOOKUP($C49,$D$29:$Y$30,L$27,FALSE)*$C$36*$A49/8760/1000*88%*IF($C78="Manufactured",IF(RIGHT($D78,4)&lt;&gt;"ered",'HVAC weighting'!$G$17,'HVAC weighting'!$G$18),IF(RIGHT($D78,4)&lt;&gt;"ered",'HVAC weighting'!$G$23,'HVAC weighting'!$G$24))*IFERROR(VLOOKUP(RIGHT($D49,4),'HVAC weighting'!$A$3:$C$8,MATCH($C49,'HVAC weighting'!$B$3:$C$3,0)+1,FALSE),1)</f>
        <v>1.5315258771925227E-2</v>
      </c>
      <c r="M49" s="29">
        <f ca="1">VLOOKUP($C49,$D$29:$Y$30,M$27,FALSE)*$C$36*$A49/8760/1000*88%*IF($C78="Manufactured",IF(RIGHT($D78,4)&lt;&gt;"ered",'HVAC weighting'!$G$17,'HVAC weighting'!$G$18),IF(RIGHT($D78,4)&lt;&gt;"ered",'HVAC weighting'!$G$23,'HVAC weighting'!$G$24))*IFERROR(VLOOKUP(RIGHT($D49,4),'HVAC weighting'!$A$3:$C$8,MATCH($C49,'HVAC weighting'!$B$3:$C$3,0)+1,FALSE),1)</f>
        <v>1.9639007724915201E-2</v>
      </c>
      <c r="N49" s="29">
        <f ca="1">VLOOKUP($C49,$D$29:$Y$30,N$27,FALSE)*$C$36*$A49/8760/1000*88%*IF($C78="Manufactured",IF(RIGHT($D78,4)&lt;&gt;"ered",'HVAC weighting'!$G$17,'HVAC weighting'!$G$18),IF(RIGHT($D78,4)&lt;&gt;"ered",'HVAC weighting'!$G$23,'HVAC weighting'!$G$24))*IFERROR(VLOOKUP(RIGHT($D49,4),'HVAC weighting'!$A$3:$C$8,MATCH($C49,'HVAC weighting'!$B$3:$C$3,0)+1,FALSE),1)</f>
        <v>2.454936086768392E-2</v>
      </c>
      <c r="O49" s="29">
        <f ca="1">VLOOKUP($C49,$D$29:$Y$30,O$27,FALSE)*$C$36*$A49/8760/1000*88%*IF($C78="Manufactured",IF(RIGHT($D78,4)&lt;&gt;"ered",'HVAC weighting'!$G$17,'HVAC weighting'!$G$18),IF(RIGHT($D78,4)&lt;&gt;"ered",'HVAC weighting'!$G$23,'HVAC weighting'!$G$24))*IFERROR(VLOOKUP(RIGHT($D49,4),'HVAC weighting'!$A$3:$C$8,MATCH($C49,'HVAC weighting'!$B$3:$C$3,0)+1,FALSE),1)</f>
        <v>2.9007753836763232E-2</v>
      </c>
      <c r="P49" s="29">
        <f ca="1">VLOOKUP($C49,$D$29:$Y$30,P$27,FALSE)*$C$36*$A49/8760/1000*88%*IF($C78="Manufactured",IF(RIGHT($D78,4)&lt;&gt;"ered",'HVAC weighting'!$G$17,'HVAC weighting'!$G$18),IF(RIGHT($D78,4)&lt;&gt;"ered",'HVAC weighting'!$G$23,'HVAC weighting'!$G$24))*IFERROR(VLOOKUP(RIGHT($D49,4),'HVAC weighting'!$A$3:$C$8,MATCH($C49,'HVAC weighting'!$B$3:$C$3,0)+1,FALSE),1)</f>
        <v>3.2338255581870076E-2</v>
      </c>
      <c r="Q49" s="29">
        <f ca="1">VLOOKUP($C49,$D$29:$Y$30,Q$27,FALSE)*$C$36*$A49/8760/1000*88%*IF($C78="Manufactured",IF(RIGHT($D78,4)&lt;&gt;"ered",'HVAC weighting'!$G$17,'HVAC weighting'!$G$18),IF(RIGHT($D78,4)&lt;&gt;"ered",'HVAC weighting'!$G$23,'HVAC weighting'!$G$24))*IFERROR(VLOOKUP(RIGHT($D49,4),'HVAC weighting'!$A$3:$C$8,MATCH($C49,'HVAC weighting'!$B$3:$C$3,0)+1,FALSE),1)</f>
        <v>3.4450228677772185E-2</v>
      </c>
      <c r="R49" s="29">
        <f ca="1">VLOOKUP($C49,$D$29:$Y$30,R$27,FALSE)*$C$36*$A49/8760/1000*88%*IF($C78="Manufactured",IF(RIGHT($D78,4)&lt;&gt;"ered",'HVAC weighting'!$G$17,'HVAC weighting'!$G$18),IF(RIGHT($D78,4)&lt;&gt;"ered",'HVAC weighting'!$G$23,'HVAC weighting'!$G$24))*IFERROR(VLOOKUP(RIGHT($D49,4),'HVAC weighting'!$A$3:$C$8,MATCH($C49,'HVAC weighting'!$B$3:$C$3,0)+1,FALSE),1)</f>
        <v>3.679722122904406E-2</v>
      </c>
      <c r="S49" s="29">
        <f ca="1">VLOOKUP($C49,$D$29:$Y$30,S$27,FALSE)*$C$36*$A49/8760/1000*88%*IF($C78="Manufactured",IF(RIGHT($D78,4)&lt;&gt;"ered",'HVAC weighting'!$G$17,'HVAC weighting'!$G$18),IF(RIGHT($D78,4)&lt;&gt;"ered",'HVAC weighting'!$G$23,'HVAC weighting'!$G$24))*IFERROR(VLOOKUP(RIGHT($D49,4),'HVAC weighting'!$A$3:$C$8,MATCH($C49,'HVAC weighting'!$B$3:$C$3,0)+1,FALSE),1)</f>
        <v>3.8949522062421416E-2</v>
      </c>
      <c r="T49" s="29">
        <f ca="1">VLOOKUP($C49,$D$29:$Y$30,T$27,FALSE)*$C$36*$A49/8760/1000*88%*IF($C78="Manufactured",IF(RIGHT($D78,4)&lt;&gt;"ered",'HVAC weighting'!$G$17,'HVAC weighting'!$G$18),IF(RIGHT($D78,4)&lt;&gt;"ered",'HVAC weighting'!$G$23,'HVAC weighting'!$G$24))*IFERROR(VLOOKUP(RIGHT($D49,4),'HVAC weighting'!$A$3:$C$8,MATCH($C49,'HVAC weighting'!$B$3:$C$3,0)+1,FALSE),1)</f>
        <v>3.9984318907065344E-2</v>
      </c>
      <c r="U49" s="29">
        <f ca="1">VLOOKUP($C49,$D$29:$Y$30,U$27,FALSE)*$C$36*$A49/8760/1000*88%*IF($C78="Manufactured",IF(RIGHT($D78,4)&lt;&gt;"ered",'HVAC weighting'!$G$17,'HVAC weighting'!$G$18),IF(RIGHT($D78,4)&lt;&gt;"ered",'HVAC weighting'!$G$23,'HVAC weighting'!$G$24))*IFERROR(VLOOKUP(RIGHT($D49,4),'HVAC weighting'!$A$3:$C$8,MATCH($C49,'HVAC weighting'!$B$3:$C$3,0)+1,FALSE),1)</f>
        <v>3.943574300285263E-2</v>
      </c>
      <c r="V49" s="29">
        <f ca="1">VLOOKUP($C49,$D$29:$Y$30,V$27,FALSE)*$C$36*$A49/8760/1000*88%*IF($C78="Manufactured",IF(RIGHT($D78,4)&lt;&gt;"ered",'HVAC weighting'!$G$17,'HVAC weighting'!$G$18),IF(RIGHT($D78,4)&lt;&gt;"ered",'HVAC weighting'!$G$23,'HVAC weighting'!$G$24))*IFERROR(VLOOKUP(RIGHT($D49,4),'HVAC weighting'!$A$3:$C$8,MATCH($C49,'HVAC weighting'!$B$3:$C$3,0)+1,FALSE),1)</f>
        <v>3.9860053116204289E-2</v>
      </c>
      <c r="W49" s="29">
        <f ca="1">VLOOKUP($C49,$D$29:$Y$30,W$27,FALSE)*$C$36*$A49/8760/1000*88%*IF($C78="Manufactured",IF(RIGHT($D78,4)&lt;&gt;"ered",'HVAC weighting'!$G$17,'HVAC weighting'!$G$18),IF(RIGHT($D78,4)&lt;&gt;"ered",'HVAC weighting'!$G$23,'HVAC weighting'!$G$24))*IFERROR(VLOOKUP(RIGHT($D49,4),'HVAC weighting'!$A$3:$C$8,MATCH($C49,'HVAC weighting'!$B$3:$C$3,0)+1,FALSE),1)</f>
        <v>4.026139479833233E-2</v>
      </c>
      <c r="X49" s="29">
        <f ca="1">VLOOKUP($C49,$D$29:$Y$30,X$27,FALSE)*$C$36*$A49/8760/1000*88%*IF($C78="Manufactured",IF(RIGHT($D78,4)&lt;&gt;"ered",'HVAC weighting'!$G$17,'HVAC weighting'!$G$18),IF(RIGHT($D78,4)&lt;&gt;"ered",'HVAC weighting'!$G$23,'HVAC weighting'!$G$24))*IFERROR(VLOOKUP(RIGHT($D49,4),'HVAC weighting'!$A$3:$C$8,MATCH($C49,'HVAC weighting'!$B$3:$C$3,0)+1,FALSE),1)</f>
        <v>4.0710979516253701E-2</v>
      </c>
      <c r="Y49" s="29">
        <f t="shared" ca="1" si="15"/>
        <v>0.46084322359920515</v>
      </c>
      <c r="AA49" s="35">
        <f t="shared" ca="1" si="16"/>
        <v>0.46084322359920515</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A50" s="58">
        <f t="shared" si="12"/>
        <v>317.07386640893014</v>
      </c>
      <c r="B50" s="58">
        <f t="shared" si="13"/>
        <v>422.42149509679393</v>
      </c>
      <c r="C50" s="7" t="str">
        <f t="shared" si="14"/>
        <v>Manufactured</v>
      </c>
      <c r="D50" s="7" t="s">
        <v>496</v>
      </c>
      <c r="E50" s="29">
        <f ca="1">VLOOKUP($C50,$D$29:$Y$30,E$27,FALSE)*$C$36*$A50/8760/1000*IF($C79="Manufactured",IF(RIGHT($D79,4)&lt;&gt;"ered",'HVAC weighting'!$G$17,'HVAC weighting'!$G$18),IF(RIGHT($D79,4)&lt;&gt;"ered",'HVAC weighting'!$G$23,'HVAC weighting'!$G$24))*IFERROR(VLOOKUP(RIGHT($D50,4),'HVAC weighting'!$A$3:$C$8,MATCH($C50,'HVAC weighting'!$B$3:$C$3,0)+1,FALSE),1)</f>
        <v>8.8146188342097214E-5</v>
      </c>
      <c r="F50" s="29">
        <f ca="1">VLOOKUP($C50,$D$29:$Y$30,F$27,FALSE)*$C$36*$A50/8760/1000*IF($C79="Manufactured",IF(RIGHT($D79,4)&lt;&gt;"ered",'HVAC weighting'!$G$17,'HVAC weighting'!$G$18),IF(RIGHT($D79,4)&lt;&gt;"ered",'HVAC weighting'!$G$23,'HVAC weighting'!$G$24))*IFERROR(VLOOKUP(RIGHT($D50,4),'HVAC weighting'!$A$3:$C$8,MATCH($C50,'HVAC weighting'!$B$3:$C$3,0)+1,FALSE),1)</f>
        <v>2.2818571535382931E-4</v>
      </c>
      <c r="G50" s="29">
        <f ca="1">VLOOKUP($C50,$D$29:$Y$30,G$27,FALSE)*$C$36*$A50/8760/1000*IF($C79="Manufactured",IF(RIGHT($D79,4)&lt;&gt;"ered",'HVAC weighting'!$G$17,'HVAC weighting'!$G$18),IF(RIGHT($D79,4)&lt;&gt;"ered",'HVAC weighting'!$G$23,'HVAC weighting'!$G$24))*IFERROR(VLOOKUP(RIGHT($D50,4),'HVAC weighting'!$A$3:$C$8,MATCH($C50,'HVAC weighting'!$B$3:$C$3,0)+1,FALSE),1)</f>
        <v>5.2525877474774167E-4</v>
      </c>
      <c r="H50" s="29">
        <f ca="1">VLOOKUP($C50,$D$29:$Y$30,H$27,FALSE)*$C$36*$A50/8760/1000*IF($C79="Manufactured",IF(RIGHT($D79,4)&lt;&gt;"ered",'HVAC weighting'!$G$17,'HVAC weighting'!$G$18),IF(RIGHT($D79,4)&lt;&gt;"ered",'HVAC weighting'!$G$23,'HVAC weighting'!$G$24))*IFERROR(VLOOKUP(RIGHT($D50,4),'HVAC weighting'!$A$3:$C$8,MATCH($C50,'HVAC weighting'!$B$3:$C$3,0)+1,FALSE),1)</f>
        <v>1.068959217659902E-3</v>
      </c>
      <c r="I50" s="29">
        <f ca="1">VLOOKUP($C50,$D$29:$Y$30,I$27,FALSE)*$C$36*$A50/8760/1000*IF($C79="Manufactured",IF(RIGHT($D79,4)&lt;&gt;"ered",'HVAC weighting'!$G$17,'HVAC weighting'!$G$18),IF(RIGHT($D79,4)&lt;&gt;"ered",'HVAC weighting'!$G$23,'HVAC weighting'!$G$24))*IFERROR(VLOOKUP(RIGHT($D50,4),'HVAC weighting'!$A$3:$C$8,MATCH($C50,'HVAC weighting'!$B$3:$C$3,0)+1,FALSE),1)</f>
        <v>1.8269890023513999E-3</v>
      </c>
      <c r="J50" s="29">
        <f ca="1">VLOOKUP($C50,$D$29:$Y$30,J$27,FALSE)*$C$36*$A50/8760/1000*IF($C79="Manufactured",IF(RIGHT($D79,4)&lt;&gt;"ered",'HVAC weighting'!$G$17,'HVAC weighting'!$G$18),IF(RIGHT($D79,4)&lt;&gt;"ered",'HVAC weighting'!$G$23,'HVAC weighting'!$G$24))*IFERROR(VLOOKUP(RIGHT($D50,4),'HVAC weighting'!$A$3:$C$8,MATCH($C50,'HVAC weighting'!$B$3:$C$3,0)+1,FALSE),1)</f>
        <v>2.8875974863171333E-3</v>
      </c>
      <c r="K50" s="29">
        <f ca="1">VLOOKUP($C50,$D$29:$Y$30,K$27,FALSE)*$C$36*$A50/8760/1000*IF($C79="Manufactured",IF(RIGHT($D79,4)&lt;&gt;"ered",'HVAC weighting'!$G$17,'HVAC weighting'!$G$18),IF(RIGHT($D79,4)&lt;&gt;"ered",'HVAC weighting'!$G$23,'HVAC weighting'!$G$24))*IFERROR(VLOOKUP(RIGHT($D50,4),'HVAC weighting'!$A$3:$C$8,MATCH($C50,'HVAC weighting'!$B$3:$C$3,0)+1,FALSE),1)</f>
        <v>4.2883223300508554E-3</v>
      </c>
      <c r="L50" s="29">
        <f ca="1">VLOOKUP($C50,$D$29:$Y$30,L$27,FALSE)*$C$36*$A50/8760/1000*IF($C79="Manufactured",IF(RIGHT($D79,4)&lt;&gt;"ered",'HVAC weighting'!$G$17,'HVAC weighting'!$G$18),IF(RIGHT($D79,4)&lt;&gt;"ered",'HVAC weighting'!$G$23,'HVAC weighting'!$G$24))*IFERROR(VLOOKUP(RIGHT($D50,4),'HVAC weighting'!$A$3:$C$8,MATCH($C50,'HVAC weighting'!$B$3:$C$3,0)+1,FALSE),1)</f>
        <v>5.9446371343770364E-3</v>
      </c>
      <c r="M50" s="29">
        <f ca="1">VLOOKUP($C50,$D$29:$Y$30,M$27,FALSE)*$C$36*$A50/8760/1000*IF($C79="Manufactured",IF(RIGHT($D79,4)&lt;&gt;"ered",'HVAC weighting'!$G$17,'HVAC weighting'!$G$18),IF(RIGHT($D79,4)&lt;&gt;"ered",'HVAC weighting'!$G$23,'HVAC weighting'!$G$24))*IFERROR(VLOOKUP(RIGHT($D50,4),'HVAC weighting'!$A$3:$C$8,MATCH($C50,'HVAC weighting'!$B$3:$C$3,0)+1,FALSE),1)</f>
        <v>7.7446157499900421E-3</v>
      </c>
      <c r="N50" s="29">
        <f ca="1">VLOOKUP($C50,$D$29:$Y$30,N$27,FALSE)*$C$36*$A50/8760/1000*IF($C79="Manufactured",IF(RIGHT($D79,4)&lt;&gt;"ered",'HVAC weighting'!$G$17,'HVAC weighting'!$G$18),IF(RIGHT($D79,4)&lt;&gt;"ered",'HVAC weighting'!$G$23,'HVAC weighting'!$G$24))*IFERROR(VLOOKUP(RIGHT($D50,4),'HVAC weighting'!$A$3:$C$8,MATCH($C50,'HVAC weighting'!$B$3:$C$3,0)+1,FALSE),1)</f>
        <v>9.5179747408649824E-3</v>
      </c>
      <c r="O50" s="29">
        <f ca="1">VLOOKUP($C50,$D$29:$Y$30,O$27,FALSE)*$C$36*$A50/8760/1000*IF($C79="Manufactured",IF(RIGHT($D79,4)&lt;&gt;"ered",'HVAC weighting'!$G$17,'HVAC weighting'!$G$18),IF(RIGHT($D79,4)&lt;&gt;"ered",'HVAC weighting'!$G$23,'HVAC weighting'!$G$24))*IFERROR(VLOOKUP(RIGHT($D50,4),'HVAC weighting'!$A$3:$C$8,MATCH($C50,'HVAC weighting'!$B$3:$C$3,0)+1,FALSE),1)</f>
        <v>1.1108248795509994E-2</v>
      </c>
      <c r="P50" s="29">
        <f ca="1">VLOOKUP($C50,$D$29:$Y$30,P$27,FALSE)*$C$36*$A50/8760/1000*IF($C79="Manufactured",IF(RIGHT($D79,4)&lt;&gt;"ered",'HVAC weighting'!$G$17,'HVAC weighting'!$G$18),IF(RIGHT($D79,4)&lt;&gt;"ered",'HVAC weighting'!$G$23,'HVAC weighting'!$G$24))*IFERROR(VLOOKUP(RIGHT($D50,4),'HVAC weighting'!$A$3:$C$8,MATCH($C50,'HVAC weighting'!$B$3:$C$3,0)+1,FALSE),1)</f>
        <v>1.2531494668120534E-2</v>
      </c>
      <c r="Q50" s="29">
        <f ca="1">VLOOKUP($C50,$D$29:$Y$30,Q$27,FALSE)*$C$36*$A50/8760/1000*IF($C79="Manufactured",IF(RIGHT($D79,4)&lt;&gt;"ered",'HVAC weighting'!$G$17,'HVAC weighting'!$G$18),IF(RIGHT($D79,4)&lt;&gt;"ered",'HVAC weighting'!$G$23,'HVAC weighting'!$G$24))*IFERROR(VLOOKUP(RIGHT($D50,4),'HVAC weighting'!$A$3:$C$8,MATCH($C50,'HVAC weighting'!$B$3:$C$3,0)+1,FALSE),1)</f>
        <v>1.3732690060740616E-2</v>
      </c>
      <c r="R50" s="29">
        <f ca="1">VLOOKUP($C50,$D$29:$Y$30,R$27,FALSE)*$C$36*$A50/8760/1000*IF($C79="Manufactured",IF(RIGHT($D79,4)&lt;&gt;"ered",'HVAC weighting'!$G$17,'HVAC weighting'!$G$18),IF(RIGHT($D79,4)&lt;&gt;"ered",'HVAC weighting'!$G$23,'HVAC weighting'!$G$24))*IFERROR(VLOOKUP(RIGHT($D50,4),'HVAC weighting'!$A$3:$C$8,MATCH($C50,'HVAC weighting'!$B$3:$C$3,0)+1,FALSE),1)</f>
        <v>1.4669347890313628E-2</v>
      </c>
      <c r="S50" s="29">
        <f ca="1">VLOOKUP($C50,$D$29:$Y$30,S$27,FALSE)*$C$36*$A50/8760/1000*IF($C79="Manufactured",IF(RIGHT($D79,4)&lt;&gt;"ered",'HVAC weighting'!$G$17,'HVAC weighting'!$G$18),IF(RIGHT($D79,4)&lt;&gt;"ered",'HVAC weighting'!$G$23,'HVAC weighting'!$G$24))*IFERROR(VLOOKUP(RIGHT($D50,4),'HVAC weighting'!$A$3:$C$8,MATCH($C50,'HVAC weighting'!$B$3:$C$3,0)+1,FALSE),1)</f>
        <v>1.5353829220479289E-2</v>
      </c>
      <c r="T50" s="29">
        <f ca="1">VLOOKUP($C50,$D$29:$Y$30,T$27,FALSE)*$C$36*$A50/8760/1000*IF($C79="Manufactured",IF(RIGHT($D79,4)&lt;&gt;"ered",'HVAC weighting'!$G$17,'HVAC weighting'!$G$18),IF(RIGHT($D79,4)&lt;&gt;"ered",'HVAC weighting'!$G$23,'HVAC weighting'!$G$24))*IFERROR(VLOOKUP(RIGHT($D50,4),'HVAC weighting'!$A$3:$C$8,MATCH($C50,'HVAC weighting'!$B$3:$C$3,0)+1,FALSE),1)</f>
        <v>1.5821475433760897E-2</v>
      </c>
      <c r="U50" s="29">
        <f ca="1">VLOOKUP($C50,$D$29:$Y$30,U$27,FALSE)*$C$36*$A50/8760/1000*IF($C79="Manufactured",IF(RIGHT($D79,4)&lt;&gt;"ered",'HVAC weighting'!$G$17,'HVAC weighting'!$G$18),IF(RIGHT($D79,4)&lt;&gt;"ered",'HVAC weighting'!$G$23,'HVAC weighting'!$G$24))*IFERROR(VLOOKUP(RIGHT($D50,4),'HVAC weighting'!$A$3:$C$8,MATCH($C50,'HVAC weighting'!$B$3:$C$3,0)+1,FALSE),1)</f>
        <v>1.6127301998988475E-2</v>
      </c>
      <c r="V50" s="29">
        <f ca="1">VLOOKUP($C50,$D$29:$Y$30,V$27,FALSE)*$C$36*$A50/8760/1000*IF($C79="Manufactured",IF(RIGHT($D79,4)&lt;&gt;"ered",'HVAC weighting'!$G$17,'HVAC weighting'!$G$18),IF(RIGHT($D79,4)&lt;&gt;"ered",'HVAC weighting'!$G$23,'HVAC weighting'!$G$24))*IFERROR(VLOOKUP(RIGHT($D50,4),'HVAC weighting'!$A$3:$C$8,MATCH($C50,'HVAC weighting'!$B$3:$C$3,0)+1,FALSE),1)</f>
        <v>1.6330564191957133E-2</v>
      </c>
      <c r="W50" s="29">
        <f ca="1">VLOOKUP($C50,$D$29:$Y$30,W$27,FALSE)*$C$36*$A50/8760/1000*IF($C79="Manufactured",IF(RIGHT($D79,4)&lt;&gt;"ered",'HVAC weighting'!$G$17,'HVAC weighting'!$G$18),IF(RIGHT($D79,4)&lt;&gt;"ered",'HVAC weighting'!$G$23,'HVAC weighting'!$G$24))*IFERROR(VLOOKUP(RIGHT($D50,4),'HVAC weighting'!$A$3:$C$8,MATCH($C50,'HVAC weighting'!$B$3:$C$3,0)+1,FALSE),1)</f>
        <v>1.6458206164477605E-2</v>
      </c>
      <c r="X50" s="29">
        <f ca="1">VLOOKUP($C50,$D$29:$Y$30,X$27,FALSE)*$C$36*$A50/8760/1000*IF($C79="Manufactured",IF(RIGHT($D79,4)&lt;&gt;"ered",'HVAC weighting'!$G$17,'HVAC weighting'!$G$18),IF(RIGHT($D79,4)&lt;&gt;"ered",'HVAC weighting'!$G$23,'HVAC weighting'!$G$24))*IFERROR(VLOOKUP(RIGHT($D50,4),'HVAC weighting'!$A$3:$C$8,MATCH($C50,'HVAC weighting'!$B$3:$C$3,0)+1,FALSE),1)</f>
        <v>1.6531721492862902E-2</v>
      </c>
      <c r="Y50" s="29">
        <f t="shared" ca="1" si="15"/>
        <v>0.18278556625726611</v>
      </c>
      <c r="AA50" s="35">
        <f t="shared" ca="1" si="16"/>
        <v>0.18278556625726611</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58">
        <f t="shared" si="12"/>
        <v>203.91805256806657</v>
      </c>
      <c r="B51" s="58">
        <f t="shared" si="13"/>
        <v>663.83775968690907</v>
      </c>
      <c r="C51" s="7" t="str">
        <f t="shared" si="14"/>
        <v>Single Family</v>
      </c>
      <c r="D51" s="7" t="s">
        <v>477</v>
      </c>
      <c r="E51" s="29">
        <f ca="1">VLOOKUP($C51,$D$29:$Y$30,E$27,FALSE)*$C$36*$A51/8760/1000*IF($C80="Manufactured",IF(RIGHT($D80,4)&lt;&gt;"ered",'HVAC weighting'!$G$17,'HVAC weighting'!$G$18),IF(RIGHT($D80,4)&lt;&gt;"ered",'HVAC weighting'!$G$23,'HVAC weighting'!$G$24))*IFERROR(VLOOKUP(RIGHT($D51,4),'HVAC weighting'!$A$3:$C$8,MATCH($C51,'HVAC weighting'!$B$3:$C$3,0)+1,FALSE),1)</f>
        <v>1.1790371003277654E-3</v>
      </c>
      <c r="F51" s="29">
        <f ca="1">VLOOKUP($C51,$D$29:$Y$30,F$27,FALSE)*$C$36*$A51/8760/1000*IF($C80="Manufactured",IF(RIGHT($D80,4)&lt;&gt;"ered",'HVAC weighting'!$G$17,'HVAC weighting'!$G$18),IF(RIGHT($D80,4)&lt;&gt;"ered",'HVAC weighting'!$G$23,'HVAC weighting'!$G$24))*IFERROR(VLOOKUP(RIGHT($D51,4),'HVAC weighting'!$A$3:$C$8,MATCH($C51,'HVAC weighting'!$B$3:$C$3,0)+1,FALSE),1)</f>
        <v>2.9006037051030752E-3</v>
      </c>
      <c r="G51" s="29">
        <f ca="1">VLOOKUP($C51,$D$29:$Y$30,G$27,FALSE)*$C$36*$A51/8760/1000*IF($C80="Manufactured",IF(RIGHT($D80,4)&lt;&gt;"ered",'HVAC weighting'!$G$17,'HVAC weighting'!$G$18),IF(RIGHT($D80,4)&lt;&gt;"ered",'HVAC weighting'!$G$23,'HVAC weighting'!$G$24))*IFERROR(VLOOKUP(RIGHT($D51,4),'HVAC weighting'!$A$3:$C$8,MATCH($C51,'HVAC weighting'!$B$3:$C$3,0)+1,FALSE),1)</f>
        <v>6.1099542717286091E-3</v>
      </c>
      <c r="H51" s="29">
        <f ca="1">VLOOKUP($C51,$D$29:$Y$30,H$27,FALSE)*$C$36*$A51/8760/1000*IF($C80="Manufactured",IF(RIGHT($D80,4)&lt;&gt;"ered",'HVAC weighting'!$G$17,'HVAC weighting'!$G$18),IF(RIGHT($D80,4)&lt;&gt;"ered",'HVAC weighting'!$G$23,'HVAC weighting'!$G$24))*IFERROR(VLOOKUP(RIGHT($D51,4),'HVAC weighting'!$A$3:$C$8,MATCH($C51,'HVAC weighting'!$B$3:$C$3,0)+1,FALSE),1)</f>
        <v>1.160102637560646E-2</v>
      </c>
      <c r="I51" s="29">
        <f ca="1">VLOOKUP($C51,$D$29:$Y$30,I$27,FALSE)*$C$36*$A51/8760/1000*IF($C80="Manufactured",IF(RIGHT($D80,4)&lt;&gt;"ered",'HVAC weighting'!$G$17,'HVAC weighting'!$G$18),IF(RIGHT($D80,4)&lt;&gt;"ered",'HVAC weighting'!$G$23,'HVAC weighting'!$G$24))*IFERROR(VLOOKUP(RIGHT($D51,4),'HVAC weighting'!$A$3:$C$8,MATCH($C51,'HVAC weighting'!$B$3:$C$3,0)+1,FALSE),1)</f>
        <v>1.9902231710345129E-2</v>
      </c>
      <c r="J51" s="29">
        <f ca="1">VLOOKUP($C51,$D$29:$Y$30,J$27,FALSE)*$C$36*$A51/8760/1000*IF($C80="Manufactured",IF(RIGHT($D80,4)&lt;&gt;"ered",'HVAC weighting'!$G$17,'HVAC weighting'!$G$18),IF(RIGHT($D80,4)&lt;&gt;"ered",'HVAC weighting'!$G$23,'HVAC weighting'!$G$24))*IFERROR(VLOOKUP(RIGHT($D51,4),'HVAC weighting'!$A$3:$C$8,MATCH($C51,'HVAC weighting'!$B$3:$C$3,0)+1,FALSE),1)</f>
        <v>3.0451951196402094E-2</v>
      </c>
      <c r="K51" s="29">
        <f ca="1">VLOOKUP($C51,$D$29:$Y$30,K$27,FALSE)*$C$36*$A51/8760/1000*IF($C80="Manufactured",IF(RIGHT($D80,4)&lt;&gt;"ered",'HVAC weighting'!$G$17,'HVAC weighting'!$G$18),IF(RIGHT($D80,4)&lt;&gt;"ered",'HVAC weighting'!$G$23,'HVAC weighting'!$G$24))*IFERROR(VLOOKUP(RIGHT($D51,4),'HVAC weighting'!$A$3:$C$8,MATCH($C51,'HVAC weighting'!$B$3:$C$3,0)+1,FALSE),1)</f>
        <v>4.3818596210113664E-2</v>
      </c>
      <c r="L51" s="29">
        <f ca="1">VLOOKUP($C51,$D$29:$Y$30,L$27,FALSE)*$C$36*$A51/8760/1000*IF($C80="Manufactured",IF(RIGHT($D80,4)&lt;&gt;"ered",'HVAC weighting'!$G$17,'HVAC weighting'!$G$18),IF(RIGHT($D80,4)&lt;&gt;"ered",'HVAC weighting'!$G$23,'HVAC weighting'!$G$24))*IFERROR(VLOOKUP(RIGHT($D51,4),'HVAC weighting'!$A$3:$C$8,MATCH($C51,'HVAC weighting'!$B$3:$C$3,0)+1,FALSE),1)</f>
        <v>6.011379444720634E-2</v>
      </c>
      <c r="M51" s="29">
        <f ca="1">VLOOKUP($C51,$D$29:$Y$30,M$27,FALSE)*$C$36*$A51/8760/1000*IF($C80="Manufactured",IF(RIGHT($D80,4)&lt;&gt;"ered",'HVAC weighting'!$G$17,'HVAC weighting'!$G$18),IF(RIGHT($D80,4)&lt;&gt;"ered",'HVAC weighting'!$G$23,'HVAC weighting'!$G$24))*IFERROR(VLOOKUP(RIGHT($D51,4),'HVAC weighting'!$A$3:$C$8,MATCH($C51,'HVAC weighting'!$B$3:$C$3,0)+1,FALSE),1)</f>
        <v>7.708490539427193E-2</v>
      </c>
      <c r="N51" s="29">
        <f ca="1">VLOOKUP($C51,$D$29:$Y$30,N$27,FALSE)*$C$36*$A51/8760/1000*IF($C80="Manufactured",IF(RIGHT($D80,4)&lt;&gt;"ered",'HVAC weighting'!$G$17,'HVAC weighting'!$G$18),IF(RIGHT($D80,4)&lt;&gt;"ered",'HVAC weighting'!$G$23,'HVAC weighting'!$G$24))*IFERROR(VLOOKUP(RIGHT($D51,4),'HVAC weighting'!$A$3:$C$8,MATCH($C51,'HVAC weighting'!$B$3:$C$3,0)+1,FALSE),1)</f>
        <v>9.6358491553240014E-2</v>
      </c>
      <c r="O51" s="29">
        <f ca="1">VLOOKUP($C51,$D$29:$Y$30,O$27,FALSE)*$C$36*$A51/8760/1000*IF($C80="Manufactured",IF(RIGHT($D80,4)&lt;&gt;"ered",'HVAC weighting'!$G$17,'HVAC weighting'!$G$18),IF(RIGHT($D80,4)&lt;&gt;"ered",'HVAC weighting'!$G$23,'HVAC weighting'!$G$24))*IFERROR(VLOOKUP(RIGHT($D51,4),'HVAC weighting'!$A$3:$C$8,MATCH($C51,'HVAC weighting'!$B$3:$C$3,0)+1,FALSE),1)</f>
        <v>0.11385809260466993</v>
      </c>
      <c r="P51" s="29">
        <f ca="1">VLOOKUP($C51,$D$29:$Y$30,P$27,FALSE)*$C$36*$A51/8760/1000*IF($C80="Manufactured",IF(RIGHT($D80,4)&lt;&gt;"ered",'HVAC weighting'!$G$17,'HVAC weighting'!$G$18),IF(RIGHT($D80,4)&lt;&gt;"ered",'HVAC weighting'!$G$23,'HVAC weighting'!$G$24))*IFERROR(VLOOKUP(RIGHT($D51,4),'HVAC weighting'!$A$3:$C$8,MATCH($C51,'HVAC weighting'!$B$3:$C$3,0)+1,FALSE),1)</f>
        <v>0.12693061722165017</v>
      </c>
      <c r="Q51" s="29">
        <f ca="1">VLOOKUP($C51,$D$29:$Y$30,Q$27,FALSE)*$C$36*$A51/8760/1000*IF($C80="Manufactured",IF(RIGHT($D80,4)&lt;&gt;"ered",'HVAC weighting'!$G$17,'HVAC weighting'!$G$18),IF(RIGHT($D80,4)&lt;&gt;"ered",'HVAC weighting'!$G$23,'HVAC weighting'!$G$24))*IFERROR(VLOOKUP(RIGHT($D51,4),'HVAC weighting'!$A$3:$C$8,MATCH($C51,'HVAC weighting'!$B$3:$C$3,0)+1,FALSE),1)</f>
        <v>0.13522030520249059</v>
      </c>
      <c r="R51" s="29">
        <f ca="1">VLOOKUP($C51,$D$29:$Y$30,R$27,FALSE)*$C$36*$A51/8760/1000*IF($C80="Manufactured",IF(RIGHT($D80,4)&lt;&gt;"ered",'HVAC weighting'!$G$17,'HVAC weighting'!$G$18),IF(RIGHT($D80,4)&lt;&gt;"ered",'HVAC weighting'!$G$23,'HVAC weighting'!$G$24))*IFERROR(VLOOKUP(RIGHT($D51,4),'HVAC weighting'!$A$3:$C$8,MATCH($C51,'HVAC weighting'!$B$3:$C$3,0)+1,FALSE),1)</f>
        <v>0.1444324660870922</v>
      </c>
      <c r="S51" s="29">
        <f ca="1">VLOOKUP($C51,$D$29:$Y$30,S$27,FALSE)*$C$36*$A51/8760/1000*IF($C80="Manufactured",IF(RIGHT($D80,4)&lt;&gt;"ered",'HVAC weighting'!$G$17,'HVAC weighting'!$G$18),IF(RIGHT($D80,4)&lt;&gt;"ered",'HVAC weighting'!$G$23,'HVAC weighting'!$G$24))*IFERROR(VLOOKUP(RIGHT($D51,4),'HVAC weighting'!$A$3:$C$8,MATCH($C51,'HVAC weighting'!$B$3:$C$3,0)+1,FALSE),1)</f>
        <v>0.15288044413388646</v>
      </c>
      <c r="T51" s="29">
        <f ca="1">VLOOKUP($C51,$D$29:$Y$30,T$27,FALSE)*$C$36*$A51/8760/1000*IF($C80="Manufactured",IF(RIGHT($D80,4)&lt;&gt;"ered",'HVAC weighting'!$G$17,'HVAC weighting'!$G$18),IF(RIGHT($D80,4)&lt;&gt;"ered",'HVAC weighting'!$G$23,'HVAC weighting'!$G$24))*IFERROR(VLOOKUP(RIGHT($D51,4),'HVAC weighting'!$A$3:$C$8,MATCH($C51,'HVAC weighting'!$B$3:$C$3,0)+1,FALSE),1)</f>
        <v>0.15694211659661847</v>
      </c>
      <c r="U51" s="29">
        <f ca="1">VLOOKUP($C51,$D$29:$Y$30,U$27,FALSE)*$C$36*$A51/8760/1000*IF($C80="Manufactured",IF(RIGHT($D80,4)&lt;&gt;"ered",'HVAC weighting'!$G$17,'HVAC weighting'!$G$18),IF(RIGHT($D80,4)&lt;&gt;"ered",'HVAC weighting'!$G$23,'HVAC weighting'!$G$24))*IFERROR(VLOOKUP(RIGHT($D51,4),'HVAC weighting'!$A$3:$C$8,MATCH($C51,'HVAC weighting'!$B$3:$C$3,0)+1,FALSE),1)</f>
        <v>0.1547889058911627</v>
      </c>
      <c r="V51" s="29">
        <f ca="1">VLOOKUP($C51,$D$29:$Y$30,V$27,FALSE)*$C$36*$A51/8760/1000*IF($C80="Manufactured",IF(RIGHT($D80,4)&lt;&gt;"ered",'HVAC weighting'!$G$17,'HVAC weighting'!$G$18),IF(RIGHT($D80,4)&lt;&gt;"ered",'HVAC weighting'!$G$23,'HVAC weighting'!$G$24))*IFERROR(VLOOKUP(RIGHT($D51,4),'HVAC weighting'!$A$3:$C$8,MATCH($C51,'HVAC weighting'!$B$3:$C$3,0)+1,FALSE),1)</f>
        <v>0.15645436197752347</v>
      </c>
      <c r="W51" s="29">
        <f ca="1">VLOOKUP($C51,$D$29:$Y$30,W$27,FALSE)*$C$36*$A51/8760/1000*IF($C80="Manufactured",IF(RIGHT($D80,4)&lt;&gt;"ered",'HVAC weighting'!$G$17,'HVAC weighting'!$G$18),IF(RIGHT($D80,4)&lt;&gt;"ered",'HVAC weighting'!$G$23,'HVAC weighting'!$G$24))*IFERROR(VLOOKUP(RIGHT($D51,4),'HVAC weighting'!$A$3:$C$8,MATCH($C51,'HVAC weighting'!$B$3:$C$3,0)+1,FALSE),1)</f>
        <v>0.15802966486608891</v>
      </c>
      <c r="X51" s="29">
        <f ca="1">VLOOKUP($C51,$D$29:$Y$30,X$27,FALSE)*$C$36*$A51/8760/1000*IF($C80="Manufactured",IF(RIGHT($D80,4)&lt;&gt;"ered",'HVAC weighting'!$G$17,'HVAC weighting'!$G$18),IF(RIGHT($D80,4)&lt;&gt;"ered",'HVAC weighting'!$G$23,'HVAC weighting'!$G$24))*IFERROR(VLOOKUP(RIGHT($D51,4),'HVAC weighting'!$A$3:$C$8,MATCH($C51,'HVAC weighting'!$B$3:$C$3,0)+1,FALSE),1)</f>
        <v>0.15979432609200783</v>
      </c>
      <c r="Y51" s="29">
        <f t="shared" ca="1" si="15"/>
        <v>1.8088518926375357</v>
      </c>
      <c r="AA51" s="35">
        <f t="shared" ca="1" si="16"/>
        <v>1.8088518926375357</v>
      </c>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A52" s="58">
        <f t="shared" si="12"/>
        <v>87.931784673528639</v>
      </c>
      <c r="B52" s="58">
        <f t="shared" si="13"/>
        <v>1607.3377066669348</v>
      </c>
      <c r="C52" s="7" t="str">
        <f t="shared" si="14"/>
        <v>Manufactured</v>
      </c>
      <c r="D52" s="7" t="s">
        <v>490</v>
      </c>
      <c r="E52" s="29">
        <f ca="1">VLOOKUP($C52,$D$29:$Y$30,E$27,FALSE)*$C$36*$A52/8760/1000*IF($C81="Manufactured",IF(RIGHT($D81,4)&lt;&gt;"ered",'HVAC weighting'!$G$17,'HVAC weighting'!$G$18),IF(RIGHT($D81,4)&lt;&gt;"ered",'HVAC weighting'!$G$23,'HVAC weighting'!$G$24))*IFERROR(VLOOKUP(RIGHT($D52,4),'HVAC weighting'!$A$3:$C$8,MATCH($C52,'HVAC weighting'!$B$3:$C$3,0)+1,FALSE),1)</f>
        <v>7.9014441313761302E-7</v>
      </c>
      <c r="F52" s="29">
        <f ca="1">VLOOKUP($C52,$D$29:$Y$30,F$27,FALSE)*$C$36*$A52/8760/1000*IF($C81="Manufactured",IF(RIGHT($D81,4)&lt;&gt;"ered",'HVAC weighting'!$G$17,'HVAC weighting'!$G$18),IF(RIGHT($D81,4)&lt;&gt;"ered",'HVAC weighting'!$G$23,'HVAC weighting'!$G$24))*IFERROR(VLOOKUP(RIGHT($D52,4),'HVAC weighting'!$A$3:$C$8,MATCH($C52,'HVAC weighting'!$B$3:$C$3,0)+1,FALSE),1)</f>
        <v>2.0454618802674832E-6</v>
      </c>
      <c r="G52" s="29">
        <f ca="1">VLOOKUP($C52,$D$29:$Y$30,G$27,FALSE)*$C$36*$A52/8760/1000*IF($C81="Manufactured",IF(RIGHT($D81,4)&lt;&gt;"ered",'HVAC weighting'!$G$17,'HVAC weighting'!$G$18),IF(RIGHT($D81,4)&lt;&gt;"ered",'HVAC weighting'!$G$23,'HVAC weighting'!$G$24))*IFERROR(VLOOKUP(RIGHT($D52,4),'HVAC weighting'!$A$3:$C$8,MATCH($C52,'HVAC weighting'!$B$3:$C$3,0)+1,FALSE),1)</f>
        <v>4.708431460560662E-6</v>
      </c>
      <c r="H52" s="29">
        <f ca="1">VLOOKUP($C52,$D$29:$Y$30,H$27,FALSE)*$C$36*$A52/8760/1000*IF($C81="Manufactured",IF(RIGHT($D81,4)&lt;&gt;"ered",'HVAC weighting'!$G$17,'HVAC weighting'!$G$18),IF(RIGHT($D81,4)&lt;&gt;"ered",'HVAC weighting'!$G$23,'HVAC weighting'!$G$24))*IFERROR(VLOOKUP(RIGHT($D52,4),'HVAC weighting'!$A$3:$C$8,MATCH($C52,'HVAC weighting'!$B$3:$C$3,0)+1,FALSE),1)</f>
        <v>9.5821744489720889E-6</v>
      </c>
      <c r="I52" s="29">
        <f ca="1">VLOOKUP($C52,$D$29:$Y$30,I$27,FALSE)*$C$36*$A52/8760/1000*IF($C81="Manufactured",IF(RIGHT($D81,4)&lt;&gt;"ered",'HVAC weighting'!$G$17,'HVAC weighting'!$G$18),IF(RIGHT($D81,4)&lt;&gt;"ered",'HVAC weighting'!$G$23,'HVAC weighting'!$G$24))*IFERROR(VLOOKUP(RIGHT($D52,4),'HVAC weighting'!$A$3:$C$8,MATCH($C52,'HVAC weighting'!$B$3:$C$3,0)+1,FALSE),1)</f>
        <v>1.6377170473546011E-5</v>
      </c>
      <c r="J52" s="29">
        <f ca="1">VLOOKUP($C52,$D$29:$Y$30,J$27,FALSE)*$C$36*$A52/8760/1000*IF($C81="Manufactured",IF(RIGHT($D81,4)&lt;&gt;"ered",'HVAC weighting'!$G$17,'HVAC weighting'!$G$18),IF(RIGHT($D81,4)&lt;&gt;"ered",'HVAC weighting'!$G$23,'HVAC weighting'!$G$24))*IFERROR(VLOOKUP(RIGHT($D52,4),'HVAC weighting'!$A$3:$C$8,MATCH($C52,'HVAC weighting'!$B$3:$C$3,0)+1,FALSE),1)</f>
        <v>2.5884488758024184E-5</v>
      </c>
      <c r="K52" s="29">
        <f ca="1">VLOOKUP($C52,$D$29:$Y$30,K$27,FALSE)*$C$36*$A52/8760/1000*IF($C81="Manufactured",IF(RIGHT($D81,4)&lt;&gt;"ered",'HVAC weighting'!$G$17,'HVAC weighting'!$G$18),IF(RIGHT($D81,4)&lt;&gt;"ered",'HVAC weighting'!$G$23,'HVAC weighting'!$G$24))*IFERROR(VLOOKUP(RIGHT($D52,4),'HVAC weighting'!$A$3:$C$8,MATCH($C52,'HVAC weighting'!$B$3:$C$3,0)+1,FALSE),1)</f>
        <v>3.8440617734626551E-5</v>
      </c>
      <c r="L52" s="29">
        <f ca="1">VLOOKUP($C52,$D$29:$Y$30,L$27,FALSE)*$C$36*$A52/8760/1000*IF($C81="Manufactured",IF(RIGHT($D81,4)&lt;&gt;"ered",'HVAC weighting'!$G$17,'HVAC weighting'!$G$18),IF(RIGHT($D81,4)&lt;&gt;"ered",'HVAC weighting'!$G$23,'HVAC weighting'!$G$24))*IFERROR(VLOOKUP(RIGHT($D52,4),'HVAC weighting'!$A$3:$C$8,MATCH($C52,'HVAC weighting'!$B$3:$C$3,0)+1,FALSE),1)</f>
        <v>5.3287860861649259E-5</v>
      </c>
      <c r="M52" s="29">
        <f ca="1">VLOOKUP($C52,$D$29:$Y$30,M$27,FALSE)*$C$36*$A52/8760/1000*IF($C81="Manufactured",IF(RIGHT($D81,4)&lt;&gt;"ered",'HVAC weighting'!$G$17,'HVAC weighting'!$G$18),IF(RIGHT($D81,4)&lt;&gt;"ered",'HVAC weighting'!$G$23,'HVAC weighting'!$G$24))*IFERROR(VLOOKUP(RIGHT($D52,4),'HVAC weighting'!$A$3:$C$8,MATCH($C52,'HVAC weighting'!$B$3:$C$3,0)+1,FALSE),1)</f>
        <v>6.9422909621489405E-5</v>
      </c>
      <c r="N52" s="29">
        <f ca="1">VLOOKUP($C52,$D$29:$Y$30,N$27,FALSE)*$C$36*$A52/8760/1000*IF($C81="Manufactured",IF(RIGHT($D81,4)&lt;&gt;"ered",'HVAC weighting'!$G$17,'HVAC weighting'!$G$18),IF(RIGHT($D81,4)&lt;&gt;"ered",'HVAC weighting'!$G$23,'HVAC weighting'!$G$24))*IFERROR(VLOOKUP(RIGHT($D52,4),'HVAC weighting'!$A$3:$C$8,MATCH($C52,'HVAC weighting'!$B$3:$C$3,0)+1,FALSE),1)</f>
        <v>8.5319339466975906E-5</v>
      </c>
      <c r="O52" s="29">
        <f ca="1">VLOOKUP($C52,$D$29:$Y$30,O$27,FALSE)*$C$36*$A52/8760/1000*IF($C81="Manufactured",IF(RIGHT($D81,4)&lt;&gt;"ered",'HVAC weighting'!$G$17,'HVAC weighting'!$G$18),IF(RIGHT($D81,4)&lt;&gt;"ered",'HVAC weighting'!$G$23,'HVAC weighting'!$G$24))*IFERROR(VLOOKUP(RIGHT($D52,4),'HVAC weighting'!$A$3:$C$8,MATCH($C52,'HVAC weighting'!$B$3:$C$3,0)+1,FALSE),1)</f>
        <v>9.9574591829775446E-5</v>
      </c>
      <c r="P52" s="29">
        <f ca="1">VLOOKUP($C52,$D$29:$Y$30,P$27,FALSE)*$C$36*$A52/8760/1000*IF($C81="Manufactured",IF(RIGHT($D81,4)&lt;&gt;"ered",'HVAC weighting'!$G$17,'HVAC weighting'!$G$18),IF(RIGHT($D81,4)&lt;&gt;"ered",'HVAC weighting'!$G$23,'HVAC weighting'!$G$24))*IFERROR(VLOOKUP(RIGHT($D52,4),'HVAC weighting'!$A$3:$C$8,MATCH($C52,'HVAC weighting'!$B$3:$C$3,0)+1,FALSE),1)</f>
        <v>1.1233259981532674E-4</v>
      </c>
      <c r="Q52" s="29">
        <f ca="1">VLOOKUP($C52,$D$29:$Y$30,Q$27,FALSE)*$C$36*$A52/8760/1000*IF($C81="Manufactured",IF(RIGHT($D81,4)&lt;&gt;"ered",'HVAC weighting'!$G$17,'HVAC weighting'!$G$18),IF(RIGHT($D81,4)&lt;&gt;"ered",'HVAC weighting'!$G$23,'HVAC weighting'!$G$24))*IFERROR(VLOOKUP(RIGHT($D52,4),'HVAC weighting'!$A$3:$C$8,MATCH($C52,'HVAC weighting'!$B$3:$C$3,0)+1,FALSE),1)</f>
        <v>1.2310014230828005E-4</v>
      </c>
      <c r="R52" s="29">
        <f ca="1">VLOOKUP($C52,$D$29:$Y$30,R$27,FALSE)*$C$36*$A52/8760/1000*IF($C81="Manufactured",IF(RIGHT($D81,4)&lt;&gt;"ered",'HVAC weighting'!$G$17,'HVAC weighting'!$G$18),IF(RIGHT($D81,4)&lt;&gt;"ered",'HVAC weighting'!$G$23,'HVAC weighting'!$G$24))*IFERROR(VLOOKUP(RIGHT($D52,4),'HVAC weighting'!$A$3:$C$8,MATCH($C52,'HVAC weighting'!$B$3:$C$3,0)+1,FALSE),1)</f>
        <v>1.314963641413376E-4</v>
      </c>
      <c r="S52" s="29">
        <f ca="1">VLOOKUP($C52,$D$29:$Y$30,S$27,FALSE)*$C$36*$A52/8760/1000*IF($C81="Manufactured",IF(RIGHT($D81,4)&lt;&gt;"ered",'HVAC weighting'!$G$17,'HVAC weighting'!$G$18),IF(RIGHT($D81,4)&lt;&gt;"ered",'HVAC weighting'!$G$23,'HVAC weighting'!$G$24))*IFERROR(VLOOKUP(RIGHT($D52,4),'HVAC weighting'!$A$3:$C$8,MATCH($C52,'HVAC weighting'!$B$3:$C$3,0)+1,FALSE),1)</f>
        <v>1.3763207016674611E-4</v>
      </c>
      <c r="T52" s="29">
        <f ca="1">VLOOKUP($C52,$D$29:$Y$30,T$27,FALSE)*$C$36*$A52/8760/1000*IF($C81="Manufactured",IF(RIGHT($D81,4)&lt;&gt;"ered",'HVAC weighting'!$G$17,'HVAC weighting'!$G$18),IF(RIGHT($D81,4)&lt;&gt;"ered",'HVAC weighting'!$G$23,'HVAC weighting'!$G$24))*IFERROR(VLOOKUP(RIGHT($D52,4),'HVAC weighting'!$A$3:$C$8,MATCH($C52,'HVAC weighting'!$B$3:$C$3,0)+1,FALSE),1)</f>
        <v>1.4182406133164319E-4</v>
      </c>
      <c r="U52" s="29">
        <f ca="1">VLOOKUP($C52,$D$29:$Y$30,U$27,FALSE)*$C$36*$A52/8760/1000*IF($C81="Manufactured",IF(RIGHT($D81,4)&lt;&gt;"ered",'HVAC weighting'!$G$17,'HVAC weighting'!$G$18),IF(RIGHT($D81,4)&lt;&gt;"ered",'HVAC weighting'!$G$23,'HVAC weighting'!$G$24))*IFERROR(VLOOKUP(RIGHT($D52,4),'HVAC weighting'!$A$3:$C$8,MATCH($C52,'HVAC weighting'!$B$3:$C$3,0)+1,FALSE),1)</f>
        <v>1.4456549753493991E-4</v>
      </c>
      <c r="V52" s="29">
        <f ca="1">VLOOKUP($C52,$D$29:$Y$30,V$27,FALSE)*$C$36*$A52/8760/1000*IF($C81="Manufactured",IF(RIGHT($D81,4)&lt;&gt;"ered",'HVAC weighting'!$G$17,'HVAC weighting'!$G$18),IF(RIGHT($D81,4)&lt;&gt;"ered",'HVAC weighting'!$G$23,'HVAC weighting'!$G$24))*IFERROR(VLOOKUP(RIGHT($D52,4),'HVAC weighting'!$A$3:$C$8,MATCH($C52,'HVAC weighting'!$B$3:$C$3,0)+1,FALSE),1)</f>
        <v>1.4638754440046022E-4</v>
      </c>
      <c r="W52" s="29">
        <f ca="1">VLOOKUP($C52,$D$29:$Y$30,W$27,FALSE)*$C$36*$A52/8760/1000*IF($C81="Manufactured",IF(RIGHT($D81,4)&lt;&gt;"ered",'HVAC weighting'!$G$17,'HVAC weighting'!$G$18),IF(RIGHT($D81,4)&lt;&gt;"ered",'HVAC weighting'!$G$23,'HVAC weighting'!$G$24))*IFERROR(VLOOKUP(RIGHT($D52,4),'HVAC weighting'!$A$3:$C$8,MATCH($C52,'HVAC weighting'!$B$3:$C$3,0)+1,FALSE),1)</f>
        <v>1.4753172991053011E-4</v>
      </c>
      <c r="X52" s="29">
        <f ca="1">VLOOKUP($C52,$D$29:$Y$30,X$27,FALSE)*$C$36*$A52/8760/1000*IF($C81="Manufactured",IF(RIGHT($D81,4)&lt;&gt;"ered",'HVAC weighting'!$G$17,'HVAC weighting'!$G$18),IF(RIGHT($D81,4)&lt;&gt;"ered",'HVAC weighting'!$G$23,'HVAC weighting'!$G$24))*IFERROR(VLOOKUP(RIGHT($D52,4),'HVAC weighting'!$A$3:$C$8,MATCH($C52,'HVAC weighting'!$B$3:$C$3,0)+1,FALSE),1)</f>
        <v>1.4819072296622733E-4</v>
      </c>
      <c r="Y52" s="29">
        <f t="shared" ca="1" si="15"/>
        <v>1.6384939235245157E-3</v>
      </c>
      <c r="AA52" s="35">
        <f t="shared" ca="1" si="16"/>
        <v>1.6384939235245157E-3</v>
      </c>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c r="A53" s="58">
        <f t="shared" si="12"/>
        <v>86.718840456148499</v>
      </c>
      <c r="B53" s="58">
        <f t="shared" si="13"/>
        <v>1630.5015291600657</v>
      </c>
      <c r="C53" s="7" t="str">
        <f t="shared" si="14"/>
        <v>Single Family</v>
      </c>
      <c r="D53" s="7" t="s">
        <v>479</v>
      </c>
      <c r="E53" s="29">
        <f ca="1">VLOOKUP($C53,$D$29:$Y$30,E$27,FALSE)*$C$36*$A53/8760/1000*IF($C82="Manufactured",IF(RIGHT($D82,4)&lt;&gt;"ered",'HVAC weighting'!$G$17,'HVAC weighting'!$G$18),IF(RIGHT($D82,4)&lt;&gt;"ered",'HVAC weighting'!$G$23,'HVAC weighting'!$G$24))*IFERROR(VLOOKUP(RIGHT($D53,4),'HVAC weighting'!$A$3:$C$8,MATCH($C53,'HVAC weighting'!$B$3:$C$3,0)+1,FALSE),1)</f>
        <v>1.1822811018994183E-4</v>
      </c>
      <c r="F53" s="29">
        <f ca="1">VLOOKUP($C53,$D$29:$Y$30,F$27,FALSE)*$C$36*$A53/8760/1000*IF($C82="Manufactured",IF(RIGHT($D82,4)&lt;&gt;"ered",'HVAC weighting'!$G$17,'HVAC weighting'!$G$18),IF(RIGHT($D82,4)&lt;&gt;"ered",'HVAC weighting'!$G$23,'HVAC weighting'!$G$24))*IFERROR(VLOOKUP(RIGHT($D53,4),'HVAC weighting'!$A$3:$C$8,MATCH($C53,'HVAC weighting'!$B$3:$C$3,0)+1,FALSE),1)</f>
        <v>2.9085844234159094E-4</v>
      </c>
      <c r="G53" s="29">
        <f ca="1">VLOOKUP($C53,$D$29:$Y$30,G$27,FALSE)*$C$36*$A53/8760/1000*IF($C82="Manufactured",IF(RIGHT($D82,4)&lt;&gt;"ered",'HVAC weighting'!$G$17,'HVAC weighting'!$G$18),IF(RIGHT($D82,4)&lt;&gt;"ered",'HVAC weighting'!$G$23,'HVAC weighting'!$G$24))*IFERROR(VLOOKUP(RIGHT($D53,4),'HVAC weighting'!$A$3:$C$8,MATCH($C53,'HVAC weighting'!$B$3:$C$3,0)+1,FALSE),1)</f>
        <v>6.1267651941793991E-4</v>
      </c>
      <c r="H53" s="29">
        <f ca="1">VLOOKUP($C53,$D$29:$Y$30,H$27,FALSE)*$C$36*$A53/8760/1000*IF($C82="Manufactured",IF(RIGHT($D82,4)&lt;&gt;"ered",'HVAC weighting'!$G$17,'HVAC weighting'!$G$18),IF(RIGHT($D82,4)&lt;&gt;"ered",'HVAC weighting'!$G$23,'HVAC weighting'!$G$24))*IFERROR(VLOOKUP(RIGHT($D53,4),'HVAC weighting'!$A$3:$C$8,MATCH($C53,'HVAC weighting'!$B$3:$C$3,0)+1,FALSE),1)</f>
        <v>1.163294542869206E-3</v>
      </c>
      <c r="I53" s="29">
        <f ca="1">VLOOKUP($C53,$D$29:$Y$30,I$27,FALSE)*$C$36*$A53/8760/1000*IF($C82="Manufactured",IF(RIGHT($D82,4)&lt;&gt;"ered",'HVAC weighting'!$G$17,'HVAC weighting'!$G$18),IF(RIGHT($D82,4)&lt;&gt;"ered",'HVAC weighting'!$G$23,'HVAC weighting'!$G$24))*IFERROR(VLOOKUP(RIGHT($D53,4),'HVAC weighting'!$A$3:$C$8,MATCH($C53,'HVAC weighting'!$B$3:$C$3,0)+1,FALSE),1)</f>
        <v>1.9956990692000425E-3</v>
      </c>
      <c r="J53" s="29">
        <f ca="1">VLOOKUP($C53,$D$29:$Y$30,J$27,FALSE)*$C$36*$A53/8760/1000*IF($C82="Manufactured",IF(RIGHT($D82,4)&lt;&gt;"ered",'HVAC weighting'!$G$17,'HVAC weighting'!$G$18),IF(RIGHT($D82,4)&lt;&gt;"ered",'HVAC weighting'!$G$23,'HVAC weighting'!$G$24))*IFERROR(VLOOKUP(RIGHT($D53,4),'HVAC weighting'!$A$3:$C$8,MATCH($C53,'HVAC weighting'!$B$3:$C$3,0)+1,FALSE),1)</f>
        <v>3.0535736666353424E-3</v>
      </c>
      <c r="K53" s="29">
        <f ca="1">VLOOKUP($C53,$D$29:$Y$30,K$27,FALSE)*$C$36*$A53/8760/1000*IF($C82="Manufactured",IF(RIGHT($D82,4)&lt;&gt;"ered",'HVAC weighting'!$G$17,'HVAC weighting'!$G$18),IF(RIGHT($D82,4)&lt;&gt;"ered",'HVAC weighting'!$G$23,'HVAC weighting'!$G$24))*IFERROR(VLOOKUP(RIGHT($D53,4),'HVAC weighting'!$A$3:$C$8,MATCH($C53,'HVAC weighting'!$B$3:$C$3,0)+1,FALSE),1)</f>
        <v>4.3939158654614958E-3</v>
      </c>
      <c r="L53" s="29">
        <f ca="1">VLOOKUP($C53,$D$29:$Y$30,L$27,FALSE)*$C$36*$A53/8760/1000*IF($C82="Manufactured",IF(RIGHT($D82,4)&lt;&gt;"ered",'HVAC weighting'!$G$17,'HVAC weighting'!$G$18),IF(RIGHT($D82,4)&lt;&gt;"ered",'HVAC weighting'!$G$23,'HVAC weighting'!$G$24))*IFERROR(VLOOKUP(RIGHT($D53,4),'HVAC weighting'!$A$3:$C$8,MATCH($C53,'HVAC weighting'!$B$3:$C$3,0)+1,FALSE),1)</f>
        <v>6.0279191484848777E-3</v>
      </c>
      <c r="M53" s="29">
        <f ca="1">VLOOKUP($C53,$D$29:$Y$30,M$27,FALSE)*$C$36*$A53/8760/1000*IF($C82="Manufactured",IF(RIGHT($D82,4)&lt;&gt;"ered",'HVAC weighting'!$G$17,'HVAC weighting'!$G$18),IF(RIGHT($D82,4)&lt;&gt;"ered",'HVAC weighting'!$G$23,'HVAC weighting'!$G$24))*IFERROR(VLOOKUP(RIGHT($D53,4),'HVAC weighting'!$A$3:$C$8,MATCH($C53,'HVAC weighting'!$B$3:$C$3,0)+1,FALSE),1)</f>
        <v>7.7296996730651596E-3</v>
      </c>
      <c r="N53" s="29">
        <f ca="1">VLOOKUP($C53,$D$29:$Y$30,N$27,FALSE)*$C$36*$A53/8760/1000*IF($C82="Manufactured",IF(RIGHT($D82,4)&lt;&gt;"ered",'HVAC weighting'!$G$17,'HVAC weighting'!$G$18),IF(RIGHT($D82,4)&lt;&gt;"ered",'HVAC weighting'!$G$23,'HVAC weighting'!$G$24))*IFERROR(VLOOKUP(RIGHT($D53,4),'HVAC weighting'!$A$3:$C$8,MATCH($C53,'HVAC weighting'!$B$3:$C$3,0)+1,FALSE),1)</f>
        <v>9.6623612216494709E-3</v>
      </c>
      <c r="O53" s="29">
        <f ca="1">VLOOKUP($C53,$D$29:$Y$30,O$27,FALSE)*$C$36*$A53/8760/1000*IF($C82="Manufactured",IF(RIGHT($D82,4)&lt;&gt;"ered",'HVAC weighting'!$G$17,'HVAC weighting'!$G$18),IF(RIGHT($D82,4)&lt;&gt;"ered",'HVAC weighting'!$G$23,'HVAC weighting'!$G$24))*IFERROR(VLOOKUP(RIGHT($D53,4),'HVAC weighting'!$A$3:$C$8,MATCH($C53,'HVAC weighting'!$B$3:$C$3,0)+1,FALSE),1)</f>
        <v>1.141713616538392E-2</v>
      </c>
      <c r="P53" s="29">
        <f ca="1">VLOOKUP($C53,$D$29:$Y$30,P$27,FALSE)*$C$36*$A53/8760/1000*IF($C82="Manufactured",IF(RIGHT($D82,4)&lt;&gt;"ered",'HVAC weighting'!$G$17,'HVAC weighting'!$G$18),IF(RIGHT($D82,4)&lt;&gt;"ered",'HVAC weighting'!$G$23,'HVAC weighting'!$G$24))*IFERROR(VLOOKUP(RIGHT($D53,4),'HVAC weighting'!$A$3:$C$8,MATCH($C53,'HVAC weighting'!$B$3:$C$3,0)+1,FALSE),1)</f>
        <v>1.2727985400278577E-2</v>
      </c>
      <c r="Q53" s="29">
        <f ca="1">VLOOKUP($C53,$D$29:$Y$30,Q$27,FALSE)*$C$36*$A53/8760/1000*IF($C82="Manufactured",IF(RIGHT($D82,4)&lt;&gt;"ered",'HVAC weighting'!$G$17,'HVAC weighting'!$G$18),IF(RIGHT($D82,4)&lt;&gt;"ered",'HVAC weighting'!$G$23,'HVAC weighting'!$G$24))*IFERROR(VLOOKUP(RIGHT($D53,4),'HVAC weighting'!$A$3:$C$8,MATCH($C53,'HVAC weighting'!$B$3:$C$3,0)+1,FALSE),1)</f>
        <v>1.3559235022335914E-2</v>
      </c>
      <c r="R53" s="29">
        <f ca="1">VLOOKUP($C53,$D$29:$Y$30,R$27,FALSE)*$C$36*$A53/8760/1000*IF($C82="Manufactured",IF(RIGHT($D82,4)&lt;&gt;"ered",'HVAC weighting'!$G$17,'HVAC weighting'!$G$18),IF(RIGHT($D82,4)&lt;&gt;"ered",'HVAC weighting'!$G$23,'HVAC weighting'!$G$24))*IFERROR(VLOOKUP(RIGHT($D53,4),'HVAC weighting'!$A$3:$C$8,MATCH($C53,'HVAC weighting'!$B$3:$C$3,0)+1,FALSE),1)</f>
        <v>1.4482985743877569E-2</v>
      </c>
      <c r="S53" s="29">
        <f ca="1">VLOOKUP($C53,$D$29:$Y$30,S$27,FALSE)*$C$36*$A53/8760/1000*IF($C82="Manufactured",IF(RIGHT($D82,4)&lt;&gt;"ered",'HVAC weighting'!$G$17,'HVAC weighting'!$G$18),IF(RIGHT($D82,4)&lt;&gt;"ered",'HVAC weighting'!$G$23,'HVAC weighting'!$G$24))*IFERROR(VLOOKUP(RIGHT($D53,4),'HVAC weighting'!$A$3:$C$8,MATCH($C53,'HVAC weighting'!$B$3:$C$3,0)+1,FALSE),1)</f>
        <v>1.5330107924444189E-2</v>
      </c>
      <c r="T53" s="29">
        <f ca="1">VLOOKUP($C53,$D$29:$Y$30,T$27,FALSE)*$C$36*$A53/8760/1000*IF($C82="Manufactured",IF(RIGHT($D82,4)&lt;&gt;"ered",'HVAC weighting'!$G$17,'HVAC weighting'!$G$18),IF(RIGHT($D82,4)&lt;&gt;"ered",'HVAC weighting'!$G$23,'HVAC weighting'!$G$24))*IFERROR(VLOOKUP(RIGHT($D53,4),'HVAC weighting'!$A$3:$C$8,MATCH($C53,'HVAC weighting'!$B$3:$C$3,0)+1,FALSE),1)</f>
        <v>1.5737392698897713E-2</v>
      </c>
      <c r="U53" s="29">
        <f ca="1">VLOOKUP($C53,$D$29:$Y$30,U$27,FALSE)*$C$36*$A53/8760/1000*IF($C82="Manufactured",IF(RIGHT($D82,4)&lt;&gt;"ered",'HVAC weighting'!$G$17,'HVAC weighting'!$G$18),IF(RIGHT($D82,4)&lt;&gt;"ered",'HVAC weighting'!$G$23,'HVAC weighting'!$G$24))*IFERROR(VLOOKUP(RIGHT($D53,4),'HVAC weighting'!$A$3:$C$8,MATCH($C53,'HVAC weighting'!$B$3:$C$3,0)+1,FALSE),1)</f>
        <v>1.5521479194160654E-2</v>
      </c>
      <c r="V53" s="29">
        <f ca="1">VLOOKUP($C53,$D$29:$Y$30,V$27,FALSE)*$C$36*$A53/8760/1000*IF($C82="Manufactured",IF(RIGHT($D82,4)&lt;&gt;"ered",'HVAC weighting'!$G$17,'HVAC weighting'!$G$18),IF(RIGHT($D82,4)&lt;&gt;"ered",'HVAC weighting'!$G$23,'HVAC weighting'!$G$24))*IFERROR(VLOOKUP(RIGHT($D53,4),'HVAC weighting'!$A$3:$C$8,MATCH($C53,'HVAC weighting'!$B$3:$C$3,0)+1,FALSE),1)</f>
        <v>1.5688483036228079E-2</v>
      </c>
      <c r="W53" s="29">
        <f ca="1">VLOOKUP($C53,$D$29:$Y$30,W$27,FALSE)*$C$36*$A53/8760/1000*IF($C82="Manufactured",IF(RIGHT($D82,4)&lt;&gt;"ered",'HVAC weighting'!$G$17,'HVAC weighting'!$G$18),IF(RIGHT($D82,4)&lt;&gt;"ered",'HVAC weighting'!$G$23,'HVAC weighting'!$G$24))*IFERROR(VLOOKUP(RIGHT($D53,4),'HVAC weighting'!$A$3:$C$8,MATCH($C53,'HVAC weighting'!$B$3:$C$3,0)+1,FALSE),1)</f>
        <v>1.5846446753773585E-2</v>
      </c>
      <c r="X53" s="29">
        <f ca="1">VLOOKUP($C53,$D$29:$Y$30,X$27,FALSE)*$C$36*$A53/8760/1000*IF($C82="Manufactured",IF(RIGHT($D82,4)&lt;&gt;"ered",'HVAC weighting'!$G$17,'HVAC weighting'!$G$18),IF(RIGHT($D82,4)&lt;&gt;"ered",'HVAC weighting'!$G$23,'HVAC weighting'!$G$24))*IFERROR(VLOOKUP(RIGHT($D53,4),'HVAC weighting'!$A$3:$C$8,MATCH($C53,'HVAC weighting'!$B$3:$C$3,0)+1,FALSE),1)</f>
        <v>1.6023398405089616E-2</v>
      </c>
      <c r="Y53" s="29">
        <f t="shared" ca="1" si="15"/>
        <v>0.18138287660378491</v>
      </c>
      <c r="AA53" s="35">
        <f t="shared" ca="1" si="16"/>
        <v>0.18138287660378491</v>
      </c>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c r="A54" s="58">
        <f t="shared" si="12"/>
        <v>87.018336528396802</v>
      </c>
      <c r="B54" s="58">
        <f t="shared" si="13"/>
        <v>1624.0877492683064</v>
      </c>
      <c r="C54" s="7" t="str">
        <f t="shared" si="14"/>
        <v>Manufactured</v>
      </c>
      <c r="D54" s="7" t="s">
        <v>489</v>
      </c>
      <c r="E54" s="29">
        <f ca="1">VLOOKUP($C54,$D$29:$Y$30,E$27,FALSE)*$C$36*$A54/8760/1000*IF($C83="Manufactured",IF(RIGHT($D83,4)&lt;&gt;"ered",'HVAC weighting'!$G$17,'HVAC weighting'!$G$18),IF(RIGHT($D83,4)&lt;&gt;"ered",'HVAC weighting'!$G$23,'HVAC weighting'!$G$24))*IFERROR(VLOOKUP(RIGHT($D54,4),'HVAC weighting'!$A$3:$C$8,MATCH($C54,'HVAC weighting'!$B$3:$C$3,0)+1,FALSE),1)</f>
        <v>5.7341993739118964E-6</v>
      </c>
      <c r="F54" s="29">
        <f ca="1">VLOOKUP($C54,$D$29:$Y$30,F$27,FALSE)*$C$36*$A54/8760/1000*IF($C83="Manufactured",IF(RIGHT($D83,4)&lt;&gt;"ered",'HVAC weighting'!$G$17,'HVAC weighting'!$G$18),IF(RIGHT($D83,4)&lt;&gt;"ered",'HVAC weighting'!$G$23,'HVAC weighting'!$G$24))*IFERROR(VLOOKUP(RIGHT($D54,4),'HVAC weighting'!$A$3:$C$8,MATCH($C54,'HVAC weighting'!$B$3:$C$3,0)+1,FALSE),1)</f>
        <v>1.4844231052162987E-5</v>
      </c>
      <c r="G54" s="29">
        <f ca="1">VLOOKUP($C54,$D$29:$Y$30,G$27,FALSE)*$C$36*$A54/8760/1000*IF($C83="Manufactured",IF(RIGHT($D83,4)&lt;&gt;"ered",'HVAC weighting'!$G$17,'HVAC weighting'!$G$18),IF(RIGHT($D83,4)&lt;&gt;"ered",'HVAC weighting'!$G$23,'HVAC weighting'!$G$24))*IFERROR(VLOOKUP(RIGHT($D54,4),'HVAC weighting'!$A$3:$C$8,MATCH($C54,'HVAC weighting'!$B$3:$C$3,0)+1,FALSE),1)</f>
        <v>3.4169810333838073E-5</v>
      </c>
      <c r="H54" s="29">
        <f ca="1">VLOOKUP($C54,$D$29:$Y$30,H$27,FALSE)*$C$36*$A54/8760/1000*IF($C83="Manufactured",IF(RIGHT($D83,4)&lt;&gt;"ered",'HVAC weighting'!$G$17,'HVAC weighting'!$G$18),IF(RIGHT($D83,4)&lt;&gt;"ered",'HVAC weighting'!$G$23,'HVAC weighting'!$G$24))*IFERROR(VLOOKUP(RIGHT($D54,4),'HVAC weighting'!$A$3:$C$8,MATCH($C54,'HVAC weighting'!$B$3:$C$3,0)+1,FALSE),1)</f>
        <v>6.9539311817472558E-5</v>
      </c>
      <c r="I54" s="29">
        <f ca="1">VLOOKUP($C54,$D$29:$Y$30,I$27,FALSE)*$C$36*$A54/8760/1000*IF($C83="Manufactured",IF(RIGHT($D83,4)&lt;&gt;"ered",'HVAC weighting'!$G$17,'HVAC weighting'!$G$18),IF(RIGHT($D83,4)&lt;&gt;"ered",'HVAC weighting'!$G$23,'HVAC weighting'!$G$24))*IFERROR(VLOOKUP(RIGHT($D54,4),'HVAC weighting'!$A$3:$C$8,MATCH($C54,'HVAC weighting'!$B$3:$C$3,0)+1,FALSE),1)</f>
        <v>1.1885164169287163E-4</v>
      </c>
      <c r="J54" s="29">
        <f ca="1">VLOOKUP($C54,$D$29:$Y$30,J$27,FALSE)*$C$36*$A54/8760/1000*IF($C83="Manufactured",IF(RIGHT($D83,4)&lt;&gt;"ered",'HVAC weighting'!$G$17,'HVAC weighting'!$G$18),IF(RIGHT($D83,4)&lt;&gt;"ered",'HVAC weighting'!$G$23,'HVAC weighting'!$G$24))*IFERROR(VLOOKUP(RIGHT($D54,4),'HVAC weighting'!$A$3:$C$8,MATCH($C54,'HVAC weighting'!$B$3:$C$3,0)+1,FALSE),1)</f>
        <v>1.8784771082655429E-4</v>
      </c>
      <c r="K54" s="29">
        <f ca="1">VLOOKUP($C54,$D$29:$Y$30,K$27,FALSE)*$C$36*$A54/8760/1000*IF($C83="Manufactured",IF(RIGHT($D83,4)&lt;&gt;"ered",'HVAC weighting'!$G$17,'HVAC weighting'!$G$18),IF(RIGHT($D83,4)&lt;&gt;"ered",'HVAC weighting'!$G$23,'HVAC weighting'!$G$24))*IFERROR(VLOOKUP(RIGHT($D54,4),'HVAC weighting'!$A$3:$C$8,MATCH($C54,'HVAC weighting'!$B$3:$C$3,0)+1,FALSE),1)</f>
        <v>2.7896946745644113E-4</v>
      </c>
      <c r="L54" s="29">
        <f ca="1">VLOOKUP($C54,$D$29:$Y$30,L$27,FALSE)*$C$36*$A54/8760/1000*IF($C83="Manufactured",IF(RIGHT($D83,4)&lt;&gt;"ered",'HVAC weighting'!$G$17,'HVAC weighting'!$G$18),IF(RIGHT($D83,4)&lt;&gt;"ered",'HVAC weighting'!$G$23,'HVAC weighting'!$G$24))*IFERROR(VLOOKUP(RIGHT($D54,4),'HVAC weighting'!$A$3:$C$8,MATCH($C54,'HVAC weighting'!$B$3:$C$3,0)+1,FALSE),1)</f>
        <v>3.8671819139567327E-4</v>
      </c>
      <c r="M54" s="29">
        <f ca="1">VLOOKUP($C54,$D$29:$Y$30,M$27,FALSE)*$C$36*$A54/8760/1000*IF($C83="Manufactured",IF(RIGHT($D83,4)&lt;&gt;"ered",'HVAC weighting'!$G$17,'HVAC weighting'!$G$18),IF(RIGHT($D83,4)&lt;&gt;"ered",'HVAC weighting'!$G$23,'HVAC weighting'!$G$24))*IFERROR(VLOOKUP(RIGHT($D54,4),'HVAC weighting'!$A$3:$C$8,MATCH($C54,'HVAC weighting'!$B$3:$C$3,0)+1,FALSE),1)</f>
        <v>5.0381271862179897E-4</v>
      </c>
      <c r="N54" s="29">
        <f ca="1">VLOOKUP($C54,$D$29:$Y$30,N$27,FALSE)*$C$36*$A54/8760/1000*IF($C83="Manufactured",IF(RIGHT($D83,4)&lt;&gt;"ered",'HVAC weighting'!$G$17,'HVAC weighting'!$G$18),IF(RIGHT($D83,4)&lt;&gt;"ered",'HVAC weighting'!$G$23,'HVAC weighting'!$G$24))*IFERROR(VLOOKUP(RIGHT($D54,4),'HVAC weighting'!$A$3:$C$8,MATCH($C54,'HVAC weighting'!$B$3:$C$3,0)+1,FALSE),1)</f>
        <v>6.1917555173411469E-4</v>
      </c>
      <c r="O54" s="29">
        <f ca="1">VLOOKUP($C54,$D$29:$Y$30,O$27,FALSE)*$C$36*$A54/8760/1000*IF($C83="Manufactured",IF(RIGHT($D83,4)&lt;&gt;"ered",'HVAC weighting'!$G$17,'HVAC weighting'!$G$18),IF(RIGHT($D83,4)&lt;&gt;"ered",'HVAC weighting'!$G$23,'HVAC weighting'!$G$24))*IFERROR(VLOOKUP(RIGHT($D54,4),'HVAC weighting'!$A$3:$C$8,MATCH($C54,'HVAC weighting'!$B$3:$C$3,0)+1,FALSE),1)</f>
        <v>7.226281077664067E-4</v>
      </c>
      <c r="P54" s="29">
        <f ca="1">VLOOKUP($C54,$D$29:$Y$30,P$27,FALSE)*$C$36*$A54/8760/1000*IF($C83="Manufactured",IF(RIGHT($D83,4)&lt;&gt;"ered",'HVAC weighting'!$G$17,'HVAC weighting'!$G$18),IF(RIGHT($D83,4)&lt;&gt;"ered",'HVAC weighting'!$G$23,'HVAC weighting'!$G$24))*IFERROR(VLOOKUP(RIGHT($D54,4),'HVAC weighting'!$A$3:$C$8,MATCH($C54,'HVAC weighting'!$B$3:$C$3,0)+1,FALSE),1)</f>
        <v>8.152149313732579E-4</v>
      </c>
      <c r="Q54" s="29">
        <f ca="1">VLOOKUP($C54,$D$29:$Y$30,Q$27,FALSE)*$C$36*$A54/8760/1000*IF($C83="Manufactured",IF(RIGHT($D83,4)&lt;&gt;"ered",'HVAC weighting'!$G$17,'HVAC weighting'!$G$18),IF(RIGHT($D83,4)&lt;&gt;"ered",'HVAC weighting'!$G$23,'HVAC weighting'!$G$24))*IFERROR(VLOOKUP(RIGHT($D54,4),'HVAC weighting'!$A$3:$C$8,MATCH($C54,'HVAC weighting'!$B$3:$C$3,0)+1,FALSE),1)</f>
        <v>8.9335664116081974E-4</v>
      </c>
      <c r="R54" s="29">
        <f ca="1">VLOOKUP($C54,$D$29:$Y$30,R$27,FALSE)*$C$36*$A54/8760/1000*IF($C83="Manufactured",IF(RIGHT($D83,4)&lt;&gt;"ered",'HVAC weighting'!$G$17,'HVAC weighting'!$G$18),IF(RIGHT($D83,4)&lt;&gt;"ered",'HVAC weighting'!$G$23,'HVAC weighting'!$G$24))*IFERROR(VLOOKUP(RIGHT($D54,4),'HVAC weighting'!$A$3:$C$8,MATCH($C54,'HVAC weighting'!$B$3:$C$3,0)+1,FALSE),1)</f>
        <v>9.542893126798914E-4</v>
      </c>
      <c r="S54" s="29">
        <f ca="1">VLOOKUP($C54,$D$29:$Y$30,S$27,FALSE)*$C$36*$A54/8760/1000*IF($C83="Manufactured",IF(RIGHT($D83,4)&lt;&gt;"ered",'HVAC weighting'!$G$17,'HVAC weighting'!$G$18),IF(RIGHT($D83,4)&lt;&gt;"ered",'HVAC weighting'!$G$23,'HVAC weighting'!$G$24))*IFERROR(VLOOKUP(RIGHT($D54,4),'HVAC weighting'!$A$3:$C$8,MATCH($C54,'HVAC weighting'!$B$3:$C$3,0)+1,FALSE),1)</f>
        <v>9.9881707376307631E-4</v>
      </c>
      <c r="T54" s="29">
        <f ca="1">VLOOKUP($C54,$D$29:$Y$30,T$27,FALSE)*$C$36*$A54/8760/1000*IF($C83="Manufactured",IF(RIGHT($D83,4)&lt;&gt;"ered",'HVAC weighting'!$G$17,'HVAC weighting'!$G$18),IF(RIGHT($D83,4)&lt;&gt;"ered",'HVAC weighting'!$G$23,'HVAC weighting'!$G$24))*IFERROR(VLOOKUP(RIGHT($D54,4),'HVAC weighting'!$A$3:$C$8,MATCH($C54,'HVAC weighting'!$B$3:$C$3,0)+1,FALSE),1)</f>
        <v>1.0292389975450147E-3</v>
      </c>
      <c r="U54" s="29">
        <f ca="1">VLOOKUP($C54,$D$29:$Y$30,U$27,FALSE)*$C$36*$A54/8760/1000*IF($C83="Manufactured",IF(RIGHT($D83,4)&lt;&gt;"ered",'HVAC weighting'!$G$17,'HVAC weighting'!$G$18),IF(RIGHT($D83,4)&lt;&gt;"ered",'HVAC weighting'!$G$23,'HVAC weighting'!$G$24))*IFERROR(VLOOKUP(RIGHT($D54,4),'HVAC weighting'!$A$3:$C$8,MATCH($C54,'HVAC weighting'!$B$3:$C$3,0)+1,FALSE),1)</f>
        <v>1.0491340211624578E-3</v>
      </c>
      <c r="V54" s="29">
        <f ca="1">VLOOKUP($C54,$D$29:$Y$30,V$27,FALSE)*$C$36*$A54/8760/1000*IF($C83="Manufactured",IF(RIGHT($D83,4)&lt;&gt;"ered",'HVAC weighting'!$G$17,'HVAC weighting'!$G$18),IF(RIGHT($D83,4)&lt;&gt;"ered",'HVAC weighting'!$G$23,'HVAC weighting'!$G$24))*IFERROR(VLOOKUP(RIGHT($D54,4),'HVAC weighting'!$A$3:$C$8,MATCH($C54,'HVAC weighting'!$B$3:$C$3,0)+1,FALSE),1)</f>
        <v>1.0623568951356047E-3</v>
      </c>
      <c r="W54" s="29">
        <f ca="1">VLOOKUP($C54,$D$29:$Y$30,W$27,FALSE)*$C$36*$A54/8760/1000*IF($C83="Manufactured",IF(RIGHT($D83,4)&lt;&gt;"ered",'HVAC weighting'!$G$17,'HVAC weighting'!$G$18),IF(RIGHT($D83,4)&lt;&gt;"ered",'HVAC weighting'!$G$23,'HVAC weighting'!$G$24))*IFERROR(VLOOKUP(RIGHT($D54,4),'HVAC weighting'!$A$3:$C$8,MATCH($C54,'HVAC weighting'!$B$3:$C$3,0)+1,FALSE),1)</f>
        <v>1.0706604251313791E-3</v>
      </c>
      <c r="X54" s="29">
        <f ca="1">VLOOKUP($C54,$D$29:$Y$30,X$27,FALSE)*$C$36*$A54/8760/1000*IF($C83="Manufactured",IF(RIGHT($D83,4)&lt;&gt;"ered",'HVAC weighting'!$G$17,'HVAC weighting'!$G$18),IF(RIGHT($D83,4)&lt;&gt;"ered",'HVAC weighting'!$G$23,'HVAC weighting'!$G$24))*IFERROR(VLOOKUP(RIGHT($D54,4),'HVAC weighting'!$A$3:$C$8,MATCH($C54,'HVAC weighting'!$B$3:$C$3,0)+1,FALSE),1)</f>
        <v>1.0754428389592333E-3</v>
      </c>
      <c r="Y54" s="29">
        <f t="shared" ca="1" si="15"/>
        <v>1.1890802078981981E-2</v>
      </c>
      <c r="AA54" s="35">
        <f t="shared" ca="1" si="16"/>
        <v>1.1890802078981981E-2</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c r="A55" s="58">
        <f t="shared" si="12"/>
        <v>86.442796713311679</v>
      </c>
      <c r="B55" s="58">
        <f t="shared" si="13"/>
        <v>1635.6197766937105</v>
      </c>
      <c r="C55" s="7" t="str">
        <f t="shared" si="14"/>
        <v>Single Family</v>
      </c>
      <c r="D55" s="7" t="s">
        <v>478</v>
      </c>
      <c r="E55" s="29">
        <f ca="1">VLOOKUP($C55,$D$29:$Y$30,E$27,FALSE)*$C$36*$A55/8760/1000*IF($C84="Manufactured",IF(RIGHT($D84,4)&lt;&gt;"ered",'HVAC weighting'!$G$17,'HVAC weighting'!$G$18),IF(RIGHT($D84,4)&lt;&gt;"ered",'HVAC weighting'!$G$23,'HVAC weighting'!$G$24))*IFERROR(VLOOKUP(RIGHT($D55,4),'HVAC weighting'!$A$3:$C$8,MATCH($C55,'HVAC weighting'!$B$3:$C$3,0)+1,FALSE),1)</f>
        <v>1.9228446034812814E-4</v>
      </c>
      <c r="F55" s="29">
        <f ca="1">VLOOKUP($C55,$D$29:$Y$30,F$27,FALSE)*$C$36*$A55/8760/1000*IF($C84="Manufactured",IF(RIGHT($D84,4)&lt;&gt;"ered",'HVAC weighting'!$G$17,'HVAC weighting'!$G$18),IF(RIGHT($D84,4)&lt;&gt;"ered",'HVAC weighting'!$G$23,'HVAC weighting'!$G$24))*IFERROR(VLOOKUP(RIGHT($D55,4),'HVAC weighting'!$A$3:$C$8,MATCH($C55,'HVAC weighting'!$B$3:$C$3,0)+1,FALSE),1)</f>
        <v>4.7304789473077394E-4</v>
      </c>
      <c r="G55" s="29">
        <f ca="1">VLOOKUP($C55,$D$29:$Y$30,G$27,FALSE)*$C$36*$A55/8760/1000*IF($C84="Manufactured",IF(RIGHT($D84,4)&lt;&gt;"ered",'HVAC weighting'!$G$17,'HVAC weighting'!$G$18),IF(RIGHT($D84,4)&lt;&gt;"ered",'HVAC weighting'!$G$23,'HVAC weighting'!$G$24))*IFERROR(VLOOKUP(RIGHT($D55,4),'HVAC weighting'!$A$3:$C$8,MATCH($C55,'HVAC weighting'!$B$3:$C$3,0)+1,FALSE),1)</f>
        <v>9.9644808425831087E-4</v>
      </c>
      <c r="H55" s="29">
        <f ca="1">VLOOKUP($C55,$D$29:$Y$30,H$27,FALSE)*$C$36*$A55/8760/1000*IF($C84="Manufactured",IF(RIGHT($D84,4)&lt;&gt;"ered",'HVAC weighting'!$G$17,'HVAC weighting'!$G$18),IF(RIGHT($D84,4)&lt;&gt;"ered",'HVAC weighting'!$G$23,'HVAC weighting'!$G$24))*IFERROR(VLOOKUP(RIGHT($D55,4),'HVAC weighting'!$A$3:$C$8,MATCH($C55,'HVAC weighting'!$B$3:$C$3,0)+1,FALSE),1)</f>
        <v>1.8919651429948796E-3</v>
      </c>
      <c r="I55" s="29">
        <f ca="1">VLOOKUP($C55,$D$29:$Y$30,I$27,FALSE)*$C$36*$A55/8760/1000*IF($C84="Manufactured",IF(RIGHT($D84,4)&lt;&gt;"ered",'HVAC weighting'!$G$17,'HVAC weighting'!$G$18),IF(RIGHT($D84,4)&lt;&gt;"ered",'HVAC weighting'!$G$23,'HVAC weighting'!$G$24))*IFERROR(VLOOKUP(RIGHT($D55,4),'HVAC weighting'!$A$3:$C$8,MATCH($C55,'HVAC weighting'!$B$3:$C$3,0)+1,FALSE),1)</f>
        <v>3.2457756274872638E-3</v>
      </c>
      <c r="J55" s="29">
        <f ca="1">VLOOKUP($C55,$D$29:$Y$30,J$27,FALSE)*$C$36*$A55/8760/1000*IF($C84="Manufactured",IF(RIGHT($D84,4)&lt;&gt;"ered",'HVAC weighting'!$G$17,'HVAC weighting'!$G$18),IF(RIGHT($D84,4)&lt;&gt;"ered",'HVAC weighting'!$G$23,'HVAC weighting'!$G$24))*IFERROR(VLOOKUP(RIGHT($D55,4),'HVAC weighting'!$A$3:$C$8,MATCH($C55,'HVAC weighting'!$B$3:$C$3,0)+1,FALSE),1)</f>
        <v>4.966287321001123E-3</v>
      </c>
      <c r="K55" s="29">
        <f ca="1">VLOOKUP($C55,$D$29:$Y$30,K$27,FALSE)*$C$36*$A55/8760/1000*IF($C84="Manufactured",IF(RIGHT($D84,4)&lt;&gt;"ered",'HVAC weighting'!$G$17,'HVAC weighting'!$G$18),IF(RIGHT($D84,4)&lt;&gt;"ered",'HVAC weighting'!$G$23,'HVAC weighting'!$G$24))*IFERROR(VLOOKUP(RIGHT($D55,4),'HVAC weighting'!$A$3:$C$8,MATCH($C55,'HVAC weighting'!$B$3:$C$3,0)+1,FALSE),1)</f>
        <v>7.1462001688767547E-3</v>
      </c>
      <c r="L55" s="29">
        <f ca="1">VLOOKUP($C55,$D$29:$Y$30,L$27,FALSE)*$C$36*$A55/8760/1000*IF($C84="Manufactured",IF(RIGHT($D84,4)&lt;&gt;"ered",'HVAC weighting'!$G$17,'HVAC weighting'!$G$18),IF(RIGHT($D84,4)&lt;&gt;"ered",'HVAC weighting'!$G$23,'HVAC weighting'!$G$24))*IFERROR(VLOOKUP(RIGHT($D55,4),'HVAC weighting'!$A$3:$C$8,MATCH($C55,'HVAC weighting'!$B$3:$C$3,0)+1,FALSE),1)</f>
        <v>9.803719086995696E-3</v>
      </c>
      <c r="M55" s="29">
        <f ca="1">VLOOKUP($C55,$D$29:$Y$30,M$27,FALSE)*$C$36*$A55/8760/1000*IF($C84="Manufactured",IF(RIGHT($D84,4)&lt;&gt;"ered",'HVAC weighting'!$G$17,'HVAC weighting'!$G$18),IF(RIGHT($D84,4)&lt;&gt;"ered",'HVAC weighting'!$G$23,'HVAC weighting'!$G$24))*IFERROR(VLOOKUP(RIGHT($D55,4),'HVAC weighting'!$A$3:$C$8,MATCH($C55,'HVAC weighting'!$B$3:$C$3,0)+1,FALSE),1)</f>
        <v>1.2571469914393363E-2</v>
      </c>
      <c r="N55" s="29">
        <f ca="1">VLOOKUP($C55,$D$29:$Y$30,N$27,FALSE)*$C$36*$A55/8760/1000*IF($C84="Manufactured",IF(RIGHT($D84,4)&lt;&gt;"ered",'HVAC weighting'!$G$17,'HVAC weighting'!$G$18),IF(RIGHT($D84,4)&lt;&gt;"ered",'HVAC weighting'!$G$23,'HVAC weighting'!$G$24))*IFERROR(VLOOKUP(RIGHT($D55,4),'HVAC weighting'!$A$3:$C$8,MATCH($C55,'HVAC weighting'!$B$3:$C$3,0)+1,FALSE),1)</f>
        <v>1.5714722245062242E-2</v>
      </c>
      <c r="O55" s="29">
        <f ca="1">VLOOKUP($C55,$D$29:$Y$30,O$27,FALSE)*$C$36*$A55/8760/1000*IF($C84="Manufactured",IF(RIGHT($D84,4)&lt;&gt;"ered",'HVAC weighting'!$G$17,'HVAC weighting'!$G$18),IF(RIGHT($D84,4)&lt;&gt;"ered",'HVAC weighting'!$G$23,'HVAC weighting'!$G$24))*IFERROR(VLOOKUP(RIGHT($D55,4),'HVAC weighting'!$A$3:$C$8,MATCH($C55,'HVAC weighting'!$B$3:$C$3,0)+1,FALSE),1)</f>
        <v>1.8568662416704268E-2</v>
      </c>
      <c r="P55" s="29">
        <f ca="1">VLOOKUP($C55,$D$29:$Y$30,P$27,FALSE)*$C$36*$A55/8760/1000*IF($C84="Manufactured",IF(RIGHT($D84,4)&lt;&gt;"ered",'HVAC weighting'!$G$17,'HVAC weighting'!$G$18),IF(RIGHT($D84,4)&lt;&gt;"ered",'HVAC weighting'!$G$23,'HVAC weighting'!$G$24))*IFERROR(VLOOKUP(RIGHT($D55,4),'HVAC weighting'!$A$3:$C$8,MATCH($C55,'HVAC weighting'!$B$3:$C$3,0)+1,FALSE),1)</f>
        <v>2.0700608341616123E-2</v>
      </c>
      <c r="Q55" s="29">
        <f ca="1">VLOOKUP($C55,$D$29:$Y$30,Q$27,FALSE)*$C$36*$A55/8760/1000*IF($C84="Manufactured",IF(RIGHT($D84,4)&lt;&gt;"ered",'HVAC weighting'!$G$17,'HVAC weighting'!$G$18),IF(RIGHT($D84,4)&lt;&gt;"ered",'HVAC weighting'!$G$23,'HVAC weighting'!$G$24))*IFERROR(VLOOKUP(RIGHT($D55,4),'HVAC weighting'!$A$3:$C$8,MATCH($C55,'HVAC weighting'!$B$3:$C$3,0)+1,FALSE),1)</f>
        <v>2.2052540506776266E-2</v>
      </c>
      <c r="R55" s="29">
        <f ca="1">VLOOKUP($C55,$D$29:$Y$30,R$27,FALSE)*$C$36*$A55/8760/1000*IF($C84="Manufactured",IF(RIGHT($D84,4)&lt;&gt;"ered",'HVAC weighting'!$G$17,'HVAC weighting'!$G$18),IF(RIGHT($D84,4)&lt;&gt;"ered",'HVAC weighting'!$G$23,'HVAC weighting'!$G$24))*IFERROR(VLOOKUP(RIGHT($D55,4),'HVAC weighting'!$A$3:$C$8,MATCH($C55,'HVAC weighting'!$B$3:$C$3,0)+1,FALSE),1)</f>
        <v>2.3554915100284252E-2</v>
      </c>
      <c r="S55" s="29">
        <f ca="1">VLOOKUP($C55,$D$29:$Y$30,S$27,FALSE)*$C$36*$A55/8760/1000*IF($C84="Manufactured",IF(RIGHT($D84,4)&lt;&gt;"ered",'HVAC weighting'!$G$17,'HVAC weighting'!$G$18),IF(RIGHT($D84,4)&lt;&gt;"ered",'HVAC weighting'!$G$23,'HVAC weighting'!$G$24))*IFERROR(VLOOKUP(RIGHT($D55,4),'HVAC weighting'!$A$3:$C$8,MATCH($C55,'HVAC weighting'!$B$3:$C$3,0)+1,FALSE),1)</f>
        <v>2.4932662161262307E-2</v>
      </c>
      <c r="T55" s="29">
        <f ca="1">VLOOKUP($C55,$D$29:$Y$30,T$27,FALSE)*$C$36*$A55/8760/1000*IF($C84="Manufactured",IF(RIGHT($D84,4)&lt;&gt;"ered",'HVAC weighting'!$G$17,'HVAC weighting'!$G$18),IF(RIGHT($D84,4)&lt;&gt;"ered",'HVAC weighting'!$G$23,'HVAC weighting'!$G$24))*IFERROR(VLOOKUP(RIGHT($D55,4),'HVAC weighting'!$A$3:$C$8,MATCH($C55,'HVAC weighting'!$B$3:$C$3,0)+1,FALSE),1)</f>
        <v>2.559506413096297E-2</v>
      </c>
      <c r="U55" s="29">
        <f ca="1">VLOOKUP($C55,$D$29:$Y$30,U$27,FALSE)*$C$36*$A55/8760/1000*IF($C84="Manufactured",IF(RIGHT($D84,4)&lt;&gt;"ered",'HVAC weighting'!$G$17,'HVAC weighting'!$G$18),IF(RIGHT($D84,4)&lt;&gt;"ered",'HVAC weighting'!$G$23,'HVAC weighting'!$G$24))*IFERROR(VLOOKUP(RIGHT($D55,4),'HVAC weighting'!$A$3:$C$8,MATCH($C55,'HVAC weighting'!$B$3:$C$3,0)+1,FALSE),1)</f>
        <v>2.5243905580990905E-2</v>
      </c>
      <c r="V55" s="29">
        <f ca="1">VLOOKUP($C55,$D$29:$Y$30,V$27,FALSE)*$C$36*$A55/8760/1000*IF($C84="Manufactured",IF(RIGHT($D84,4)&lt;&gt;"ered",'HVAC weighting'!$G$17,'HVAC weighting'!$G$18),IF(RIGHT($D84,4)&lt;&gt;"ered",'HVAC weighting'!$G$23,'HVAC weighting'!$G$24))*IFERROR(VLOOKUP(RIGHT($D55,4),'HVAC weighting'!$A$3:$C$8,MATCH($C55,'HVAC weighting'!$B$3:$C$3,0)+1,FALSE),1)</f>
        <v>2.5515518174615278E-2</v>
      </c>
      <c r="W55" s="29">
        <f ca="1">VLOOKUP($C55,$D$29:$Y$30,W$27,FALSE)*$C$36*$A55/8760/1000*IF($C84="Manufactured",IF(RIGHT($D84,4)&lt;&gt;"ered",'HVAC weighting'!$G$17,'HVAC weighting'!$G$18),IF(RIGHT($D84,4)&lt;&gt;"ered",'HVAC weighting'!$G$23,'HVAC weighting'!$G$24))*IFERROR(VLOOKUP(RIGHT($D55,4),'HVAC weighting'!$A$3:$C$8,MATCH($C55,'HVAC weighting'!$B$3:$C$3,0)+1,FALSE),1)</f>
        <v>2.5772428042615571E-2</v>
      </c>
      <c r="X55" s="29">
        <f ca="1">VLOOKUP($C55,$D$29:$Y$30,X$27,FALSE)*$C$36*$A55/8760/1000*IF($C84="Manufactured",IF(RIGHT($D84,4)&lt;&gt;"ered",'HVAC weighting'!$G$17,'HVAC weighting'!$G$18),IF(RIGHT($D84,4)&lt;&gt;"ered",'HVAC weighting'!$G$23,'HVAC weighting'!$G$24))*IFERROR(VLOOKUP(RIGHT($D55,4),'HVAC weighting'!$A$3:$C$8,MATCH($C55,'HVAC weighting'!$B$3:$C$3,0)+1,FALSE),1)</f>
        <v>2.6060219606959693E-2</v>
      </c>
      <c r="Y55" s="29">
        <f t="shared" ca="1" si="15"/>
        <v>0.29499844400893616</v>
      </c>
      <c r="AA55" s="35">
        <f t="shared" ca="1" si="16"/>
        <v>0.29499844400893616</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A56" s="58">
        <f t="shared" si="12"/>
        <v>50.096541596068619</v>
      </c>
      <c r="B56" s="58">
        <f t="shared" si="13"/>
        <v>2752.9917395427819</v>
      </c>
      <c r="C56" s="7" t="str">
        <f t="shared" ref="C56:C61" si="17">IF(LEFT(D56,FIND(" ",$D56)-1)="single","Single Family",LEFT(D56,FIND(" ",$D56)-1))</f>
        <v>Manufactured</v>
      </c>
      <c r="D56" s="7" t="s">
        <v>492</v>
      </c>
      <c r="E56" s="29">
        <f ca="1">VLOOKUP($C56,$D$29:$Y$30,E$27,FALSE)*$C$36*$A56/8760/1000*IF($C85="Manufactured",IF(RIGHT($D85,4)&lt;&gt;"ered",'HVAC weighting'!$G$17,'HVAC weighting'!$G$18),IF(RIGHT($D85,4)&lt;&gt;"ered",'HVAC weighting'!$G$23,'HVAC weighting'!$G$24))*IFERROR(VLOOKUP(RIGHT($D56,4),'HVAC weighting'!$A$3:$C$8,MATCH($C56,'HVAC weighting'!$B$3:$C$3,0)+1,FALSE),1)</f>
        <v>2.0600026043921478E-6</v>
      </c>
      <c r="F56" s="29">
        <f ca="1">VLOOKUP($C56,$D$29:$Y$30,F$27,FALSE)*$C$36*$A56/8760/1000*IF($C85="Manufactured",IF(RIGHT($D85,4)&lt;&gt;"ered",'HVAC weighting'!$G$17,'HVAC weighting'!$G$18),IF(RIGHT($D85,4)&lt;&gt;"ered",'HVAC weighting'!$G$23,'HVAC weighting'!$G$24))*IFERROR(VLOOKUP(RIGHT($D56,4),'HVAC weighting'!$A$3:$C$8,MATCH($C56,'HVAC weighting'!$B$3:$C$3,0)+1,FALSE),1)</f>
        <v>5.3327679478283126E-6</v>
      </c>
      <c r="G56" s="29">
        <f ca="1">VLOOKUP($C56,$D$29:$Y$30,G$27,FALSE)*$C$36*$A56/8760/1000*IF($C85="Manufactured",IF(RIGHT($D85,4)&lt;&gt;"ered",'HVAC weighting'!$G$17,'HVAC weighting'!$G$18),IF(RIGHT($D85,4)&lt;&gt;"ered",'HVAC weighting'!$G$23,'HVAC weighting'!$G$24))*IFERROR(VLOOKUP(RIGHT($D56,4),'HVAC weighting'!$A$3:$C$8,MATCH($C56,'HVAC weighting'!$B$3:$C$3,0)+1,FALSE),1)</f>
        <v>1.2275453588086847E-5</v>
      </c>
      <c r="H56" s="29">
        <f ca="1">VLOOKUP($C56,$D$29:$Y$30,H$27,FALSE)*$C$36*$A56/8760/1000*IF($C85="Manufactured",IF(RIGHT($D85,4)&lt;&gt;"ered",'HVAC weighting'!$G$17,'HVAC weighting'!$G$18),IF(RIGHT($D85,4)&lt;&gt;"ered",'HVAC weighting'!$G$23,'HVAC weighting'!$G$24))*IFERROR(VLOOKUP(RIGHT($D56,4),'HVAC weighting'!$A$3:$C$8,MATCH($C56,'HVAC weighting'!$B$3:$C$3,0)+1,FALSE),1)</f>
        <v>2.4981894439067008E-5</v>
      </c>
      <c r="I56" s="29">
        <f ca="1">VLOOKUP($C56,$D$29:$Y$30,I$27,FALSE)*$C$36*$A56/8760/1000*IF($C85="Manufactured",IF(RIGHT($D85,4)&lt;&gt;"ered",'HVAC weighting'!$G$17,'HVAC weighting'!$G$18),IF(RIGHT($D85,4)&lt;&gt;"ered",'HVAC weighting'!$G$23,'HVAC weighting'!$G$24))*IFERROR(VLOOKUP(RIGHT($D56,4),'HVAC weighting'!$A$3:$C$8,MATCH($C56,'HVAC weighting'!$B$3:$C$3,0)+1,FALSE),1)</f>
        <v>4.2697275671559115E-5</v>
      </c>
      <c r="J56" s="29">
        <f ca="1">VLOOKUP($C56,$D$29:$Y$30,J$27,FALSE)*$C$36*$A56/8760/1000*IF($C85="Manufactured",IF(RIGHT($D85,4)&lt;&gt;"ered",'HVAC weighting'!$G$17,'HVAC weighting'!$G$18),IF(RIGHT($D85,4)&lt;&gt;"ered",'HVAC weighting'!$G$23,'HVAC weighting'!$G$24))*IFERROR(VLOOKUP(RIGHT($D56,4),'HVAC weighting'!$A$3:$C$8,MATCH($C56,'HVAC weighting'!$B$3:$C$3,0)+1,FALSE),1)</f>
        <v>6.7484010983701531E-5</v>
      </c>
      <c r="K56" s="29">
        <f ca="1">VLOOKUP($C56,$D$29:$Y$30,K$27,FALSE)*$C$36*$A56/8760/1000*IF($C85="Manufactured",IF(RIGHT($D85,4)&lt;&gt;"ered",'HVAC weighting'!$G$17,'HVAC weighting'!$G$18),IF(RIGHT($D85,4)&lt;&gt;"ered",'HVAC weighting'!$G$23,'HVAC weighting'!$G$24))*IFERROR(VLOOKUP(RIGHT($D56,4),'HVAC weighting'!$A$3:$C$8,MATCH($C56,'HVAC weighting'!$B$3:$C$3,0)+1,FALSE),1)</f>
        <v>1.0021936665137461E-4</v>
      </c>
      <c r="L56" s="29">
        <f ca="1">VLOOKUP($C56,$D$29:$Y$30,L$27,FALSE)*$C$36*$A56/8760/1000*IF($C85="Manufactured",IF(RIGHT($D85,4)&lt;&gt;"ered",'HVAC weighting'!$G$17,'HVAC weighting'!$G$18),IF(RIGHT($D85,4)&lt;&gt;"ered",'HVAC weighting'!$G$23,'HVAC weighting'!$G$24))*IFERROR(VLOOKUP(RIGHT($D56,4),'HVAC weighting'!$A$3:$C$8,MATCH($C56,'HVAC weighting'!$B$3:$C$3,0)+1,FALSE),1)</f>
        <v>1.3892793561822673E-4</v>
      </c>
      <c r="M56" s="29">
        <f ca="1">VLOOKUP($C56,$D$29:$Y$30,M$27,FALSE)*$C$36*$A56/8760/1000*IF($C85="Manufactured",IF(RIGHT($D85,4)&lt;&gt;"ered",'HVAC weighting'!$G$17,'HVAC weighting'!$G$18),IF(RIGHT($D85,4)&lt;&gt;"ered",'HVAC weighting'!$G$23,'HVAC weighting'!$G$24))*IFERROR(VLOOKUP(RIGHT($D56,4),'HVAC weighting'!$A$3:$C$8,MATCH($C56,'HVAC weighting'!$B$3:$C$3,0)+1,FALSE),1)</f>
        <v>1.8099397052857692E-4</v>
      </c>
      <c r="N56" s="29">
        <f ca="1">VLOOKUP($C56,$D$29:$Y$30,N$27,FALSE)*$C$36*$A56/8760/1000*IF($C85="Manufactured",IF(RIGHT($D85,4)&lt;&gt;"ered",'HVAC weighting'!$G$17,'HVAC weighting'!$G$18),IF(RIGHT($D85,4)&lt;&gt;"ered",'HVAC weighting'!$G$23,'HVAC weighting'!$G$24))*IFERROR(VLOOKUP(RIGHT($D56,4),'HVAC weighting'!$A$3:$C$8,MATCH($C56,'HVAC weighting'!$B$3:$C$3,0)+1,FALSE),1)</f>
        <v>2.2243789690173734E-4</v>
      </c>
      <c r="O56" s="29">
        <f ca="1">VLOOKUP($C56,$D$29:$Y$30,O$27,FALSE)*$C$36*$A56/8760/1000*IF($C85="Manufactured",IF(RIGHT($D85,4)&lt;&gt;"ered",'HVAC weighting'!$G$17,'HVAC weighting'!$G$18),IF(RIGHT($D85,4)&lt;&gt;"ered",'HVAC weighting'!$G$23,'HVAC weighting'!$G$24))*IFERROR(VLOOKUP(RIGHT($D56,4),'HVAC weighting'!$A$3:$C$8,MATCH($C56,'HVAC weighting'!$B$3:$C$3,0)+1,FALSE),1)</f>
        <v>2.5960307393187594E-4</v>
      </c>
      <c r="P56" s="29">
        <f ca="1">VLOOKUP($C56,$D$29:$Y$30,P$27,FALSE)*$C$36*$A56/8760/1000*IF($C85="Manufactured",IF(RIGHT($D85,4)&lt;&gt;"ered",'HVAC weighting'!$G$17,'HVAC weighting'!$G$18),IF(RIGHT($D85,4)&lt;&gt;"ered",'HVAC weighting'!$G$23,'HVAC weighting'!$G$24))*IFERROR(VLOOKUP(RIGHT($D56,4),'HVAC weighting'!$A$3:$C$8,MATCH($C56,'HVAC weighting'!$B$3:$C$3,0)+1,FALSE),1)</f>
        <v>2.9286475273401948E-4</v>
      </c>
      <c r="Q56" s="29">
        <f ca="1">VLOOKUP($C56,$D$29:$Y$30,Q$27,FALSE)*$C$36*$A56/8760/1000*IF($C85="Manufactured",IF(RIGHT($D85,4)&lt;&gt;"ered",'HVAC weighting'!$G$17,'HVAC weighting'!$G$18),IF(RIGHT($D85,4)&lt;&gt;"ered",'HVAC weighting'!$G$23,'HVAC weighting'!$G$24))*IFERROR(VLOOKUP(RIGHT($D56,4),'HVAC weighting'!$A$3:$C$8,MATCH($C56,'HVAC weighting'!$B$3:$C$3,0)+1,FALSE),1)</f>
        <v>3.2093704586117963E-4</v>
      </c>
      <c r="R56" s="29">
        <f ca="1">VLOOKUP($C56,$D$29:$Y$30,R$27,FALSE)*$C$36*$A56/8760/1000*IF($C85="Manufactured",IF(RIGHT($D85,4)&lt;&gt;"ered",'HVAC weighting'!$G$17,'HVAC weighting'!$G$18),IF(RIGHT($D85,4)&lt;&gt;"ered",'HVAC weighting'!$G$23,'HVAC weighting'!$G$24))*IFERROR(VLOOKUP(RIGHT($D56,4),'HVAC weighting'!$A$3:$C$8,MATCH($C56,'HVAC weighting'!$B$3:$C$3,0)+1,FALSE),1)</f>
        <v>3.4282701756201139E-4</v>
      </c>
      <c r="S56" s="29">
        <f ca="1">VLOOKUP($C56,$D$29:$Y$30,S$27,FALSE)*$C$36*$A56/8760/1000*IF($C85="Manufactured",IF(RIGHT($D85,4)&lt;&gt;"ered",'HVAC weighting'!$G$17,'HVAC weighting'!$G$18),IF(RIGHT($D85,4)&lt;&gt;"ered",'HVAC weighting'!$G$23,'HVAC weighting'!$G$24))*IFERROR(VLOOKUP(RIGHT($D56,4),'HVAC weighting'!$A$3:$C$8,MATCH($C56,'HVAC weighting'!$B$3:$C$3,0)+1,FALSE),1)</f>
        <v>3.5882354956549069E-4</v>
      </c>
      <c r="T56" s="29">
        <f ca="1">VLOOKUP($C56,$D$29:$Y$30,T$27,FALSE)*$C$36*$A56/8760/1000*IF($C85="Manufactured",IF(RIGHT($D85,4)&lt;&gt;"ered",'HVAC weighting'!$G$17,'HVAC weighting'!$G$18),IF(RIGHT($D85,4)&lt;&gt;"ered",'HVAC weighting'!$G$23,'HVAC weighting'!$G$24))*IFERROR(VLOOKUP(RIGHT($D56,4),'HVAC weighting'!$A$3:$C$8,MATCH($C56,'HVAC weighting'!$B$3:$C$3,0)+1,FALSE),1)</f>
        <v>3.6975258047894821E-4</v>
      </c>
      <c r="U56" s="29">
        <f ca="1">VLOOKUP($C56,$D$29:$Y$30,U$27,FALSE)*$C$36*$A56/8760/1000*IF($C85="Manufactured",IF(RIGHT($D85,4)&lt;&gt;"ered",'HVAC weighting'!$G$17,'HVAC weighting'!$G$18),IF(RIGHT($D85,4)&lt;&gt;"ered",'HVAC weighting'!$G$23,'HVAC weighting'!$G$24))*IFERROR(VLOOKUP(RIGHT($D56,4),'HVAC weighting'!$A$3:$C$8,MATCH($C56,'HVAC weighting'!$B$3:$C$3,0)+1,FALSE),1)</f>
        <v>3.7689983815067043E-4</v>
      </c>
      <c r="V56" s="29">
        <f ca="1">VLOOKUP($C56,$D$29:$Y$30,V$27,FALSE)*$C$36*$A56/8760/1000*IF($C85="Manufactured",IF(RIGHT($D85,4)&lt;&gt;"ered",'HVAC weighting'!$G$17,'HVAC weighting'!$G$18),IF(RIGHT($D85,4)&lt;&gt;"ered",'HVAC weighting'!$G$23,'HVAC weighting'!$G$24))*IFERROR(VLOOKUP(RIGHT($D56,4),'HVAC weighting'!$A$3:$C$8,MATCH($C56,'HVAC weighting'!$B$3:$C$3,0)+1,FALSE),1)</f>
        <v>3.8165013597710428E-4</v>
      </c>
      <c r="W56" s="29">
        <f ca="1">VLOOKUP($C56,$D$29:$Y$30,W$27,FALSE)*$C$36*$A56/8760/1000*IF($C85="Manufactured",IF(RIGHT($D85,4)&lt;&gt;"ered",'HVAC weighting'!$G$17,'HVAC weighting'!$G$18),IF(RIGHT($D85,4)&lt;&gt;"ered",'HVAC weighting'!$G$23,'HVAC weighting'!$G$24))*IFERROR(VLOOKUP(RIGHT($D56,4),'HVAC weighting'!$A$3:$C$8,MATCH($C56,'HVAC weighting'!$B$3:$C$3,0)+1,FALSE),1)</f>
        <v>3.8463316678952506E-4</v>
      </c>
      <c r="X56" s="29">
        <f ca="1">VLOOKUP($C56,$D$29:$Y$30,X$27,FALSE)*$C$36*$A56/8760/1000*IF($C85="Manufactured",IF(RIGHT($D85,4)&lt;&gt;"ered",'HVAC weighting'!$G$17,'HVAC weighting'!$G$18),IF(RIGHT($D85,4)&lt;&gt;"ered",'HVAC weighting'!$G$23,'HVAC weighting'!$G$24))*IFERROR(VLOOKUP(RIGHT($D56,4),'HVAC weighting'!$A$3:$C$8,MATCH($C56,'HVAC weighting'!$B$3:$C$3,0)+1,FALSE),1)</f>
        <v>3.863512418507939E-4</v>
      </c>
      <c r="Y56" s="29">
        <f t="shared" ca="1" si="15"/>
        <v>4.2717529778361699E-3</v>
      </c>
      <c r="AA56" s="35">
        <f ca="1">SUM(E56:X56)</f>
        <v>4.2717529778361699E-3</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A57" s="58">
        <f t="shared" si="12"/>
        <v>50.040314629419214</v>
      </c>
      <c r="B57" s="58">
        <f t="shared" si="13"/>
        <v>2755.8310346940802</v>
      </c>
      <c r="C57" s="7" t="str">
        <f t="shared" si="17"/>
        <v>Single Family</v>
      </c>
      <c r="D57" s="7" t="s">
        <v>481</v>
      </c>
      <c r="E57" s="29">
        <f ca="1">VLOOKUP($C57,$D$29:$Y$30,E$27,FALSE)*$C$36*$A57/8760/1000*IF($C86="Manufactured",IF(RIGHT($D86,4)&lt;&gt;"ered",'HVAC weighting'!$G$17,'HVAC weighting'!$G$18),IF(RIGHT($D86,4)&lt;&gt;"ered",'HVAC weighting'!$G$23,'HVAC weighting'!$G$24))*IFERROR(VLOOKUP(RIGHT($D57,4),'HVAC weighting'!$A$3:$C$8,MATCH($C57,'HVAC weighting'!$B$3:$C$3,0)+1,FALSE),1)</f>
        <v>4.5802199793376714E-5</v>
      </c>
      <c r="F57" s="29">
        <f ca="1">VLOOKUP($C57,$D$29:$Y$30,F$27,FALSE)*$C$36*$A57/8760/1000*IF($C86="Manufactured",IF(RIGHT($D86,4)&lt;&gt;"ered",'HVAC weighting'!$G$17,'HVAC weighting'!$G$18),IF(RIGHT($D86,4)&lt;&gt;"ered",'HVAC weighting'!$G$23,'HVAC weighting'!$G$24))*IFERROR(VLOOKUP(RIGHT($D57,4),'HVAC weighting'!$A$3:$C$8,MATCH($C57,'HVAC weighting'!$B$3:$C$3,0)+1,FALSE),1)</f>
        <v>1.1268011022350964E-4</v>
      </c>
      <c r="G57" s="29">
        <f ca="1">VLOOKUP($C57,$D$29:$Y$30,G$27,FALSE)*$C$36*$A57/8760/1000*IF($C86="Manufactured",IF(RIGHT($D86,4)&lt;&gt;"ered",'HVAC weighting'!$G$17,'HVAC weighting'!$G$18),IF(RIGHT($D86,4)&lt;&gt;"ered",'HVAC weighting'!$G$23,'HVAC weighting'!$G$24))*IFERROR(VLOOKUP(RIGHT($D57,4),'HVAC weighting'!$A$3:$C$8,MATCH($C57,'HVAC weighting'!$B$3:$C$3,0)+1,FALSE),1)</f>
        <v>2.3735414789264288E-4</v>
      </c>
      <c r="H57" s="29">
        <f ca="1">VLOOKUP($C57,$D$29:$Y$30,H$27,FALSE)*$C$36*$A57/8760/1000*IF($C86="Manufactured",IF(RIGHT($D86,4)&lt;&gt;"ered",'HVAC weighting'!$G$17,'HVAC weighting'!$G$18),IF(RIGHT($D86,4)&lt;&gt;"ered",'HVAC weighting'!$G$23,'HVAC weighting'!$G$24))*IFERROR(VLOOKUP(RIGHT($D57,4),'HVAC weighting'!$A$3:$C$8,MATCH($C57,'HVAC weighting'!$B$3:$C$3,0)+1,FALSE),1)</f>
        <v>4.5066650380725688E-4</v>
      </c>
      <c r="I57" s="29">
        <f ca="1">VLOOKUP($C57,$D$29:$Y$30,I$27,FALSE)*$C$36*$A57/8760/1000*IF($C86="Manufactured",IF(RIGHT($D86,4)&lt;&gt;"ered",'HVAC weighting'!$G$17,'HVAC weighting'!$G$18),IF(RIGHT($D86,4)&lt;&gt;"ered",'HVAC weighting'!$G$23,'HVAC weighting'!$G$24))*IFERROR(VLOOKUP(RIGHT($D57,4),'HVAC weighting'!$A$3:$C$8,MATCH($C57,'HVAC weighting'!$B$3:$C$3,0)+1,FALSE),1)</f>
        <v>7.7314445226354229E-4</v>
      </c>
      <c r="J57" s="29">
        <f ca="1">VLOOKUP($C57,$D$29:$Y$30,J$27,FALSE)*$C$36*$A57/8760/1000*IF($C86="Manufactured",IF(RIGHT($D86,4)&lt;&gt;"ered",'HVAC weighting'!$G$17,'HVAC weighting'!$G$18),IF(RIGHT($D86,4)&lt;&gt;"ered",'HVAC weighting'!$G$23,'HVAC weighting'!$G$24))*IFERROR(VLOOKUP(RIGHT($D57,4),'HVAC weighting'!$A$3:$C$8,MATCH($C57,'HVAC weighting'!$B$3:$C$3,0)+1,FALSE),1)</f>
        <v>1.1829707075443417E-3</v>
      </c>
      <c r="K57" s="29">
        <f ca="1">VLOOKUP($C57,$D$29:$Y$30,K$27,FALSE)*$C$36*$A57/8760/1000*IF($C86="Manufactured",IF(RIGHT($D86,4)&lt;&gt;"ered",'HVAC weighting'!$G$17,'HVAC weighting'!$G$18),IF(RIGHT($D86,4)&lt;&gt;"ered",'HVAC weighting'!$G$23,'HVAC weighting'!$G$24))*IFERROR(VLOOKUP(RIGHT($D57,4),'HVAC weighting'!$A$3:$C$8,MATCH($C57,'HVAC weighting'!$B$3:$C$3,0)+1,FALSE),1)</f>
        <v>1.7022264165588974E-3</v>
      </c>
      <c r="L57" s="29">
        <f ca="1">VLOOKUP($C57,$D$29:$Y$30,L$27,FALSE)*$C$36*$A57/8760/1000*IF($C86="Manufactured",IF(RIGHT($D86,4)&lt;&gt;"ered",'HVAC weighting'!$G$17,'HVAC weighting'!$G$18),IF(RIGHT($D86,4)&lt;&gt;"ered",'HVAC weighting'!$G$23,'HVAC weighting'!$G$24))*IFERROR(VLOOKUP(RIGHT($D57,4),'HVAC weighting'!$A$3:$C$8,MATCH($C57,'HVAC weighting'!$B$3:$C$3,0)+1,FALSE),1)</f>
        <v>2.3352479941839916E-3</v>
      </c>
      <c r="M57" s="29">
        <f ca="1">VLOOKUP($C57,$D$29:$Y$30,M$27,FALSE)*$C$36*$A57/8760/1000*IF($C86="Manufactured",IF(RIGHT($D86,4)&lt;&gt;"ered",'HVAC weighting'!$G$17,'HVAC weighting'!$G$18),IF(RIGHT($D86,4)&lt;&gt;"ered",'HVAC weighting'!$G$23,'HVAC weighting'!$G$24))*IFERROR(VLOOKUP(RIGHT($D57,4),'HVAC weighting'!$A$3:$C$8,MATCH($C57,'HVAC weighting'!$B$3:$C$3,0)+1,FALSE),1)</f>
        <v>2.994526836297588E-3</v>
      </c>
      <c r="N57" s="29">
        <f ca="1">VLOOKUP($C57,$D$29:$Y$30,N$27,FALSE)*$C$36*$A57/8760/1000*IF($C86="Manufactured",IF(RIGHT($D86,4)&lt;&gt;"ered",'HVAC weighting'!$G$17,'HVAC weighting'!$G$18),IF(RIGHT($D86,4)&lt;&gt;"ered",'HVAC weighting'!$G$23,'HVAC weighting'!$G$24))*IFERROR(VLOOKUP(RIGHT($D57,4),'HVAC weighting'!$A$3:$C$8,MATCH($C57,'HVAC weighting'!$B$3:$C$3,0)+1,FALSE),1)</f>
        <v>3.743250217217926E-3</v>
      </c>
      <c r="O57" s="29">
        <f ca="1">VLOOKUP($C57,$D$29:$Y$30,O$27,FALSE)*$C$36*$A57/8760/1000*IF($C86="Manufactured",IF(RIGHT($D86,4)&lt;&gt;"ered",'HVAC weighting'!$G$17,'HVAC weighting'!$G$18),IF(RIGHT($D86,4)&lt;&gt;"ered",'HVAC weighting'!$G$23,'HVAC weighting'!$G$24))*IFERROR(VLOOKUP(RIGHT($D57,4),'HVAC weighting'!$A$3:$C$8,MATCH($C57,'HVAC weighting'!$B$3:$C$3,0)+1,FALSE),1)</f>
        <v>4.4230593796600239E-3</v>
      </c>
      <c r="P57" s="29">
        <f ca="1">VLOOKUP($C57,$D$29:$Y$30,P$27,FALSE)*$C$36*$A57/8760/1000*IF($C86="Manufactured",IF(RIGHT($D86,4)&lt;&gt;"ered",'HVAC weighting'!$G$17,'HVAC weighting'!$G$18),IF(RIGHT($D86,4)&lt;&gt;"ered",'HVAC weighting'!$G$23,'HVAC weighting'!$G$24))*IFERROR(VLOOKUP(RIGHT($D57,4),'HVAC weighting'!$A$3:$C$8,MATCH($C57,'HVAC weighting'!$B$3:$C$3,0)+1,FALSE),1)</f>
        <v>4.930889357312394E-3</v>
      </c>
      <c r="Q57" s="29">
        <f ca="1">VLOOKUP($C57,$D$29:$Y$30,Q$27,FALSE)*$C$36*$A57/8760/1000*IF($C86="Manufactured",IF(RIGHT($D86,4)&lt;&gt;"ered",'HVAC weighting'!$G$17,'HVAC weighting'!$G$18),IF(RIGHT($D86,4)&lt;&gt;"ered",'HVAC weighting'!$G$23,'HVAC weighting'!$G$24))*IFERROR(VLOOKUP(RIGHT($D57,4),'HVAC weighting'!$A$3:$C$8,MATCH($C57,'HVAC weighting'!$B$3:$C$3,0)+1,FALSE),1)</f>
        <v>5.2529198896999292E-3</v>
      </c>
      <c r="R57" s="29">
        <f ca="1">VLOOKUP($C57,$D$29:$Y$30,R$27,FALSE)*$C$36*$A57/8760/1000*IF($C86="Manufactured",IF(RIGHT($D86,4)&lt;&gt;"ered",'HVAC weighting'!$G$17,'HVAC weighting'!$G$18),IF(RIGHT($D86,4)&lt;&gt;"ered",'HVAC weighting'!$G$23,'HVAC weighting'!$G$24))*IFERROR(VLOOKUP(RIGHT($D57,4),'HVAC weighting'!$A$3:$C$8,MATCH($C57,'HVAC weighting'!$B$3:$C$3,0)+1,FALSE),1)</f>
        <v>5.6107858408629236E-3</v>
      </c>
      <c r="S57" s="29">
        <f ca="1">VLOOKUP($C57,$D$29:$Y$30,S$27,FALSE)*$C$36*$A57/8760/1000*IF($C86="Manufactured",IF(RIGHT($D86,4)&lt;&gt;"ered",'HVAC weighting'!$G$17,'HVAC weighting'!$G$18),IF(RIGHT($D86,4)&lt;&gt;"ered",'HVAC weighting'!$G$23,'HVAC weighting'!$G$24))*IFERROR(VLOOKUP(RIGHT($D57,4),'HVAC weighting'!$A$3:$C$8,MATCH($C57,'HVAC weighting'!$B$3:$C$3,0)+1,FALSE),1)</f>
        <v>5.9389654869841215E-3</v>
      </c>
      <c r="T57" s="29">
        <f ca="1">VLOOKUP($C57,$D$29:$Y$30,T$27,FALSE)*$C$36*$A57/8760/1000*IF($C86="Manufactured",IF(RIGHT($D86,4)&lt;&gt;"ered",'HVAC weighting'!$G$17,'HVAC weighting'!$G$18),IF(RIGHT($D86,4)&lt;&gt;"ered",'HVAC weighting'!$G$23,'HVAC weighting'!$G$24))*IFERROR(VLOOKUP(RIGHT($D57,4),'HVAC weighting'!$A$3:$C$8,MATCH($C57,'HVAC weighting'!$B$3:$C$3,0)+1,FALSE),1)</f>
        <v>6.0967497785739209E-3</v>
      </c>
      <c r="U57" s="29">
        <f ca="1">VLOOKUP($C57,$D$29:$Y$30,U$27,FALSE)*$C$36*$A57/8760/1000*IF($C86="Manufactured",IF(RIGHT($D86,4)&lt;&gt;"ered",'HVAC weighting'!$G$17,'HVAC weighting'!$G$18),IF(RIGHT($D86,4)&lt;&gt;"ered",'HVAC weighting'!$G$23,'HVAC weighting'!$G$24))*IFERROR(VLOOKUP(RIGHT($D57,4),'HVAC weighting'!$A$3:$C$8,MATCH($C57,'HVAC weighting'!$B$3:$C$3,0)+1,FALSE),1)</f>
        <v>6.0131037364764281E-3</v>
      </c>
      <c r="V57" s="29">
        <f ca="1">VLOOKUP($C57,$D$29:$Y$30,V$27,FALSE)*$C$36*$A57/8760/1000*IF($C86="Manufactured",IF(RIGHT($D86,4)&lt;&gt;"ered",'HVAC weighting'!$G$17,'HVAC weighting'!$G$18),IF(RIGHT($D86,4)&lt;&gt;"ered",'HVAC weighting'!$G$23,'HVAC weighting'!$G$24))*IFERROR(VLOOKUP(RIGHT($D57,4),'HVAC weighting'!$A$3:$C$8,MATCH($C57,'HVAC weighting'!$B$3:$C$3,0)+1,FALSE),1)</f>
        <v>6.0778019146706386E-3</v>
      </c>
      <c r="W57" s="29">
        <f ca="1">VLOOKUP($C57,$D$29:$Y$30,W$27,FALSE)*$C$36*$A57/8760/1000*IF($C86="Manufactured",IF(RIGHT($D86,4)&lt;&gt;"ered",'HVAC weighting'!$G$17,'HVAC weighting'!$G$18),IF(RIGHT($D86,4)&lt;&gt;"ered",'HVAC weighting'!$G$23,'HVAC weighting'!$G$24))*IFERROR(VLOOKUP(RIGHT($D57,4),'HVAC weighting'!$A$3:$C$8,MATCH($C57,'HVAC weighting'!$B$3:$C$3,0)+1,FALSE),1)</f>
        <v>6.1389979004603142E-3</v>
      </c>
      <c r="X57" s="29">
        <f ca="1">VLOOKUP($C57,$D$29:$Y$30,X$27,FALSE)*$C$36*$A57/8760/1000*IF($C86="Manufactured",IF(RIGHT($D86,4)&lt;&gt;"ered",'HVAC weighting'!$G$17,'HVAC weighting'!$G$18),IF(RIGHT($D86,4)&lt;&gt;"ered",'HVAC weighting'!$G$23,'HVAC weighting'!$G$24))*IFERROR(VLOOKUP(RIGHT($D57,4),'HVAC weighting'!$A$3:$C$8,MATCH($C57,'HVAC weighting'!$B$3:$C$3,0)+1,FALSE),1)</f>
        <v>6.2075499129582209E-3</v>
      </c>
      <c r="Y57" s="29">
        <f t="shared" ca="1" si="15"/>
        <v>7.0268692783441986E-2</v>
      </c>
      <c r="AA57" s="35">
        <f t="shared" ca="1" si="16"/>
        <v>7.0268692783441986E-2</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A58" s="58">
        <f t="shared" si="12"/>
        <v>32.764624802907406</v>
      </c>
      <c r="B58" s="58">
        <f t="shared" si="13"/>
        <v>4262.5491729940195</v>
      </c>
      <c r="C58" s="7" t="str">
        <f t="shared" si="17"/>
        <v>Manufactured</v>
      </c>
      <c r="D58" s="7" t="s">
        <v>493</v>
      </c>
      <c r="E58" s="29">
        <f ca="1">VLOOKUP($C58,$D$29:$Y$30,E$27,FALSE)*$C$36*$A58/8760/1000*IF($C87="Manufactured",IF(RIGHT($D87,4)&lt;&gt;"ered",'HVAC weighting'!$G$17,'HVAC weighting'!$G$18),IF(RIGHT($D87,4)&lt;&gt;"ered",'HVAC weighting'!$G$23,'HVAC weighting'!$G$24))*IFERROR(VLOOKUP(RIGHT($D58,4),'HVAC weighting'!$A$3:$C$8,MATCH($C58,'HVAC weighting'!$B$3:$C$3,0)+1,FALSE),1)</f>
        <v>3.8434391871184319E-7</v>
      </c>
      <c r="F58" s="29">
        <f ca="1">VLOOKUP($C58,$D$29:$Y$30,F$27,FALSE)*$C$36*$A58/8760/1000*IF($C87="Manufactured",IF(RIGHT($D87,4)&lt;&gt;"ered",'HVAC weighting'!$G$17,'HVAC weighting'!$G$18),IF(RIGHT($D87,4)&lt;&gt;"ered",'HVAC weighting'!$G$23,'HVAC weighting'!$G$24))*IFERROR(VLOOKUP(RIGHT($D58,4),'HVAC weighting'!$A$3:$C$8,MATCH($C58,'HVAC weighting'!$B$3:$C$3,0)+1,FALSE),1)</f>
        <v>9.949584171783297E-7</v>
      </c>
      <c r="G58" s="29">
        <f ca="1">VLOOKUP($C58,$D$29:$Y$30,G$27,FALSE)*$C$36*$A58/8760/1000*IF($C87="Manufactured",IF(RIGHT($D87,4)&lt;&gt;"ered",'HVAC weighting'!$G$17,'HVAC weighting'!$G$18),IF(RIGHT($D87,4)&lt;&gt;"ered",'HVAC weighting'!$G$23,'HVAC weighting'!$G$24))*IFERROR(VLOOKUP(RIGHT($D58,4),'HVAC weighting'!$A$3:$C$8,MATCH($C58,'HVAC weighting'!$B$3:$C$3,0)+1,FALSE),1)</f>
        <v>2.2902863937896867E-6</v>
      </c>
      <c r="H58" s="29">
        <f ca="1">VLOOKUP($C58,$D$29:$Y$30,H$27,FALSE)*$C$36*$A58/8760/1000*IF($C87="Manufactured",IF(RIGHT($D87,4)&lt;&gt;"ered",'HVAC weighting'!$G$17,'HVAC weighting'!$G$18),IF(RIGHT($D87,4)&lt;&gt;"ered",'HVAC weighting'!$G$23,'HVAC weighting'!$G$24))*IFERROR(VLOOKUP(RIGHT($D58,4),'HVAC weighting'!$A$3:$C$8,MATCH($C58,'HVAC weighting'!$B$3:$C$3,0)+1,FALSE),1)</f>
        <v>4.6609840128769188E-6</v>
      </c>
      <c r="I58" s="29">
        <f ca="1">VLOOKUP($C58,$D$29:$Y$30,I$27,FALSE)*$C$36*$A58/8760/1000*IF($C87="Manufactured",IF(RIGHT($D87,4)&lt;&gt;"ered",'HVAC weighting'!$G$17,'HVAC weighting'!$G$18),IF(RIGHT($D87,4)&lt;&gt;"ered",'HVAC weighting'!$G$23,'HVAC weighting'!$G$24))*IFERROR(VLOOKUP(RIGHT($D58,4),'HVAC weighting'!$A$3:$C$8,MATCH($C58,'HVAC weighting'!$B$3:$C$3,0)+1,FALSE),1)</f>
        <v>7.9662220887187478E-6</v>
      </c>
      <c r="J58" s="29">
        <f ca="1">VLOOKUP($C58,$D$29:$Y$30,J$27,FALSE)*$C$36*$A58/8760/1000*IF($C87="Manufactured",IF(RIGHT($D87,4)&lt;&gt;"ered",'HVAC weighting'!$G$17,'HVAC weighting'!$G$18),IF(RIGHT($D87,4)&lt;&gt;"ered",'HVAC weighting'!$G$23,'HVAC weighting'!$G$24))*IFERROR(VLOOKUP(RIGHT($D58,4),'HVAC weighting'!$A$3:$C$8,MATCH($C58,'HVAC weighting'!$B$3:$C$3,0)+1,FALSE),1)</f>
        <v>1.2590794388593631E-5</v>
      </c>
      <c r="K58" s="29">
        <f ca="1">VLOOKUP($C58,$D$29:$Y$30,K$27,FALSE)*$C$36*$A58/8760/1000*IF($C87="Manufactured",IF(RIGHT($D87,4)&lt;&gt;"ered",'HVAC weighting'!$G$17,'HVAC weighting'!$G$18),IF(RIGHT($D87,4)&lt;&gt;"ered",'HVAC weighting'!$G$23,'HVAC weighting'!$G$24))*IFERROR(VLOOKUP(RIGHT($D58,4),'HVAC weighting'!$A$3:$C$8,MATCH($C58,'HVAC weighting'!$B$3:$C$3,0)+1,FALSE),1)</f>
        <v>1.8698376413448367E-5</v>
      </c>
      <c r="L58" s="29">
        <f ca="1">VLOOKUP($C58,$D$29:$Y$30,L$27,FALSE)*$C$36*$A58/8760/1000*IF($C87="Manufactured",IF(RIGHT($D87,4)&lt;&gt;"ered",'HVAC weighting'!$G$17,'HVAC weighting'!$G$18),IF(RIGHT($D87,4)&lt;&gt;"ered",'HVAC weighting'!$G$23,'HVAC weighting'!$G$24))*IFERROR(VLOOKUP(RIGHT($D58,4),'HVAC weighting'!$A$3:$C$8,MATCH($C58,'HVAC weighting'!$B$3:$C$3,0)+1,FALSE),1)</f>
        <v>2.5920407615121292E-5</v>
      </c>
      <c r="M58" s="29">
        <f ca="1">VLOOKUP($C58,$D$29:$Y$30,M$27,FALSE)*$C$36*$A58/8760/1000*IF($C87="Manufactured",IF(RIGHT($D87,4)&lt;&gt;"ered",'HVAC weighting'!$G$17,'HVAC weighting'!$G$18),IF(RIGHT($D87,4)&lt;&gt;"ered",'HVAC weighting'!$G$23,'HVAC weighting'!$G$24))*IFERROR(VLOOKUP(RIGHT($D58,4),'HVAC weighting'!$A$3:$C$8,MATCH($C58,'HVAC weighting'!$B$3:$C$3,0)+1,FALSE),1)</f>
        <v>3.3768856285837361E-5</v>
      </c>
      <c r="N58" s="29">
        <f ca="1">VLOOKUP($C58,$D$29:$Y$30,N$27,FALSE)*$C$36*$A58/8760/1000*IF($C87="Manufactured",IF(RIGHT($D87,4)&lt;&gt;"ered",'HVAC weighting'!$G$17,'HVAC weighting'!$G$18),IF(RIGHT($D87,4)&lt;&gt;"ered",'HVAC weighting'!$G$23,'HVAC weighting'!$G$24))*IFERROR(VLOOKUP(RIGHT($D58,4),'HVAC weighting'!$A$3:$C$8,MATCH($C58,'HVAC weighting'!$B$3:$C$3,0)+1,FALSE),1)</f>
        <v>4.1501235378516104E-5</v>
      </c>
      <c r="O58" s="29">
        <f ca="1">VLOOKUP($C58,$D$29:$Y$30,O$27,FALSE)*$C$36*$A58/8760/1000*IF($C87="Manufactured",IF(RIGHT($D87,4)&lt;&gt;"ered",'HVAC weighting'!$G$17,'HVAC weighting'!$G$18),IF(RIGHT($D87,4)&lt;&gt;"ered",'HVAC weighting'!$G$23,'HVAC weighting'!$G$24))*IFERROR(VLOOKUP(RIGHT($D58,4),'HVAC weighting'!$A$3:$C$8,MATCH($C58,'HVAC weighting'!$B$3:$C$3,0)+1,FALSE),1)</f>
        <v>4.8435309029164589E-5</v>
      </c>
      <c r="P58" s="29">
        <f ca="1">VLOOKUP($C58,$D$29:$Y$30,P$27,FALSE)*$C$36*$A58/8760/1000*IF($C87="Manufactured",IF(RIGHT($D87,4)&lt;&gt;"ered",'HVAC weighting'!$G$17,'HVAC weighting'!$G$18),IF(RIGHT($D87,4)&lt;&gt;"ered",'HVAC weighting'!$G$23,'HVAC weighting'!$G$24))*IFERROR(VLOOKUP(RIGHT($D58,4),'HVAC weighting'!$A$3:$C$8,MATCH($C58,'HVAC weighting'!$B$3:$C$3,0)+1,FALSE),1)</f>
        <v>5.4641089520166779E-5</v>
      </c>
      <c r="Q58" s="29">
        <f ca="1">VLOOKUP($C58,$D$29:$Y$30,Q$27,FALSE)*$C$36*$A58/8760/1000*IF($C87="Manufactured",IF(RIGHT($D87,4)&lt;&gt;"ered",'HVAC weighting'!$G$17,'HVAC weighting'!$G$18),IF(RIGHT($D87,4)&lt;&gt;"ered",'HVAC weighting'!$G$23,'HVAC weighting'!$G$24))*IFERROR(VLOOKUP(RIGHT($D58,4),'HVAC weighting'!$A$3:$C$8,MATCH($C58,'HVAC weighting'!$B$3:$C$3,0)+1,FALSE),1)</f>
        <v>5.9878663067266212E-5</v>
      </c>
      <c r="R58" s="29">
        <f ca="1">VLOOKUP($C58,$D$29:$Y$30,R$27,FALSE)*$C$36*$A58/8760/1000*IF($C87="Manufactured",IF(RIGHT($D87,4)&lt;&gt;"ered",'HVAC weighting'!$G$17,'HVAC weighting'!$G$18),IF(RIGHT($D87,4)&lt;&gt;"ered",'HVAC weighting'!$G$23,'HVAC weighting'!$G$24))*IFERROR(VLOOKUP(RIGHT($D58,4),'HVAC weighting'!$A$3:$C$8,MATCH($C58,'HVAC weighting'!$B$3:$C$3,0)+1,FALSE),1)</f>
        <v>6.3962773197054907E-5</v>
      </c>
      <c r="S58" s="29">
        <f ca="1">VLOOKUP($C58,$D$29:$Y$30,S$27,FALSE)*$C$36*$A58/8760/1000*IF($C87="Manufactured",IF(RIGHT($D87,4)&lt;&gt;"ered",'HVAC weighting'!$G$17,'HVAC weighting'!$G$18),IF(RIGHT($D87,4)&lt;&gt;"ered",'HVAC weighting'!$G$23,'HVAC weighting'!$G$24))*IFERROR(VLOOKUP(RIGHT($D58,4),'HVAC weighting'!$A$3:$C$8,MATCH($C58,'HVAC weighting'!$B$3:$C$3,0)+1,FALSE),1)</f>
        <v>6.6947317868458749E-5</v>
      </c>
      <c r="T58" s="29">
        <f ca="1">VLOOKUP($C58,$D$29:$Y$30,T$27,FALSE)*$C$36*$A58/8760/1000*IF($C87="Manufactured",IF(RIGHT($D87,4)&lt;&gt;"ered",'HVAC weighting'!$G$17,'HVAC weighting'!$G$18),IF(RIGHT($D87,4)&lt;&gt;"ered",'HVAC weighting'!$G$23,'HVAC weighting'!$G$24))*IFERROR(VLOOKUP(RIGHT($D58,4),'HVAC weighting'!$A$3:$C$8,MATCH($C58,'HVAC weighting'!$B$3:$C$3,0)+1,FALSE),1)</f>
        <v>6.8986396149255686E-5</v>
      </c>
      <c r="U58" s="29">
        <f ca="1">VLOOKUP($C58,$D$29:$Y$30,U$27,FALSE)*$C$36*$A58/8760/1000*IF($C87="Manufactured",IF(RIGHT($D87,4)&lt;&gt;"ered",'HVAC weighting'!$G$17,'HVAC weighting'!$G$18),IF(RIGHT($D87,4)&lt;&gt;"ered",'HVAC weighting'!$G$23,'HVAC weighting'!$G$24))*IFERROR(VLOOKUP(RIGHT($D58,4),'HVAC weighting'!$A$3:$C$8,MATCH($C58,'HVAC weighting'!$B$3:$C$3,0)+1,FALSE),1)</f>
        <v>7.031989204665703E-5</v>
      </c>
      <c r="V58" s="29">
        <f ca="1">VLOOKUP($C58,$D$29:$Y$30,V$27,FALSE)*$C$36*$A58/8760/1000*IF($C87="Manufactured",IF(RIGHT($D87,4)&lt;&gt;"ered",'HVAC weighting'!$G$17,'HVAC weighting'!$G$18),IF(RIGHT($D87,4)&lt;&gt;"ered",'HVAC weighting'!$G$23,'HVAC weighting'!$G$24))*IFERROR(VLOOKUP(RIGHT($D58,4),'HVAC weighting'!$A$3:$C$8,MATCH($C58,'HVAC weighting'!$B$3:$C$3,0)+1,FALSE),1)</f>
        <v>7.1206176402689977E-5</v>
      </c>
      <c r="W58" s="29">
        <f ca="1">VLOOKUP($C58,$D$29:$Y$30,W$27,FALSE)*$C$36*$A58/8760/1000*IF($C87="Manufactured",IF(RIGHT($D87,4)&lt;&gt;"ered",'HVAC weighting'!$G$17,'HVAC weighting'!$G$18),IF(RIGHT($D87,4)&lt;&gt;"ered",'HVAC weighting'!$G$23,'HVAC weighting'!$G$24))*IFERROR(VLOOKUP(RIGHT($D58,4),'HVAC weighting'!$A$3:$C$8,MATCH($C58,'HVAC weighting'!$B$3:$C$3,0)+1,FALSE),1)</f>
        <v>7.1762733831131828E-5</v>
      </c>
      <c r="X58" s="29">
        <f ca="1">VLOOKUP($C58,$D$29:$Y$30,X$27,FALSE)*$C$36*$A58/8760/1000*IF($C87="Manufactured",IF(RIGHT($D87,4)&lt;&gt;"ered",'HVAC weighting'!$G$17,'HVAC weighting'!$G$18),IF(RIGHT($D87,4)&lt;&gt;"ered",'HVAC weighting'!$G$23,'HVAC weighting'!$G$24))*IFERROR(VLOOKUP(RIGHT($D58,4),'HVAC weighting'!$A$3:$C$8,MATCH($C58,'HVAC weighting'!$B$3:$C$3,0)+1,FALSE),1)</f>
        <v>7.208328279562403E-5</v>
      </c>
      <c r="Y58" s="29">
        <f t="shared" ca="1" si="15"/>
        <v>7.9700009882026205E-4</v>
      </c>
      <c r="AA58" s="35">
        <f t="shared" ca="1" si="16"/>
        <v>7.9700009882026205E-4</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A59" s="58">
        <f t="shared" si="12"/>
        <v>31.639902913345086</v>
      </c>
      <c r="B59" s="58">
        <f t="shared" si="13"/>
        <v>4415.4378199361927</v>
      </c>
      <c r="C59" s="7" t="str">
        <f t="shared" si="17"/>
        <v>Single Family</v>
      </c>
      <c r="D59" s="7" t="s">
        <v>482</v>
      </c>
      <c r="E59" s="29">
        <f ca="1">VLOOKUP($C59,$D$29:$Y$30,E$27,FALSE)*$C$36*$A59/8760/1000*IF($C88="Manufactured",IF(RIGHT($D88,4)&lt;&gt;"ered",'HVAC weighting'!$G$17,'HVAC weighting'!$G$18),IF(RIGHT($D88,4)&lt;&gt;"ered",'HVAC weighting'!$G$23,'HVAC weighting'!$G$24))*IFERROR(VLOOKUP(RIGHT($D59,4),'HVAC weighting'!$A$3:$C$8,MATCH($C59,'HVAC weighting'!$B$3:$C$3,0)+1,FALSE),1)</f>
        <v>2.950667248305505E-5</v>
      </c>
      <c r="F59" s="29">
        <f ca="1">VLOOKUP($C59,$D$29:$Y$30,F$27,FALSE)*$C$36*$A59/8760/1000*IF($C88="Manufactured",IF(RIGHT($D88,4)&lt;&gt;"ered",'HVAC weighting'!$G$17,'HVAC weighting'!$G$18),IF(RIGHT($D88,4)&lt;&gt;"ered",'HVAC weighting'!$G$23,'HVAC weighting'!$G$24))*IFERROR(VLOOKUP(RIGHT($D59,4),'HVAC weighting'!$A$3:$C$8,MATCH($C59,'HVAC weighting'!$B$3:$C$3,0)+1,FALSE),1)</f>
        <v>7.2590729762294737E-5</v>
      </c>
      <c r="G59" s="29">
        <f ca="1">VLOOKUP($C59,$D$29:$Y$30,G$27,FALSE)*$C$36*$A59/8760/1000*IF($C88="Manufactured",IF(RIGHT($D88,4)&lt;&gt;"ered",'HVAC weighting'!$G$17,'HVAC weighting'!$G$18),IF(RIGHT($D88,4)&lt;&gt;"ered",'HVAC weighting'!$G$23,'HVAC weighting'!$G$24))*IFERROR(VLOOKUP(RIGHT($D59,4),'HVAC weighting'!$A$3:$C$8,MATCH($C59,'HVAC weighting'!$B$3:$C$3,0)+1,FALSE),1)</f>
        <v>1.5290818205145637E-4</v>
      </c>
      <c r="H59" s="29">
        <f ca="1">VLOOKUP($C59,$D$29:$Y$30,H$27,FALSE)*$C$36*$A59/8760/1000*IF($C88="Manufactured",IF(RIGHT($D88,4)&lt;&gt;"ered",'HVAC weighting'!$G$17,'HVAC weighting'!$G$18),IF(RIGHT($D88,4)&lt;&gt;"ered",'HVAC weighting'!$G$23,'HVAC weighting'!$G$24))*IFERROR(VLOOKUP(RIGHT($D59,4),'HVAC weighting'!$A$3:$C$8,MATCH($C59,'HVAC weighting'!$B$3:$C$3,0)+1,FALSE),1)</f>
        <v>2.9032817172347118E-4</v>
      </c>
      <c r="I59" s="29">
        <f ca="1">VLOOKUP($C59,$D$29:$Y$30,I$27,FALSE)*$C$36*$A59/8760/1000*IF($C88="Manufactured",IF(RIGHT($D88,4)&lt;&gt;"ered",'HVAC weighting'!$G$17,'HVAC weighting'!$G$18),IF(RIGHT($D88,4)&lt;&gt;"ered",'HVAC weighting'!$G$23,'HVAC weighting'!$G$24))*IFERROR(VLOOKUP(RIGHT($D59,4),'HVAC weighting'!$A$3:$C$8,MATCH($C59,'HVAC weighting'!$B$3:$C$3,0)+1,FALSE),1)</f>
        <v>4.9807477016268161E-4</v>
      </c>
      <c r="J59" s="29">
        <f ca="1">VLOOKUP($C59,$D$29:$Y$30,J$27,FALSE)*$C$36*$A59/8760/1000*IF($C88="Manufactured",IF(RIGHT($D88,4)&lt;&gt;"ered",'HVAC weighting'!$G$17,'HVAC weighting'!$G$18),IF(RIGHT($D88,4)&lt;&gt;"ered",'HVAC weighting'!$G$23,'HVAC weighting'!$G$24))*IFERROR(VLOOKUP(RIGHT($D59,4),'HVAC weighting'!$A$3:$C$8,MATCH($C59,'HVAC weighting'!$B$3:$C$3,0)+1,FALSE),1)</f>
        <v>7.620928554092362E-4</v>
      </c>
      <c r="K59" s="29">
        <f ca="1">VLOOKUP($C59,$D$29:$Y$30,K$27,FALSE)*$C$36*$A59/8760/1000*IF($C88="Manufactured",IF(RIGHT($D88,4)&lt;&gt;"ered",'HVAC weighting'!$G$17,'HVAC weighting'!$G$18),IF(RIGHT($D88,4)&lt;&gt;"ered",'HVAC weighting'!$G$23,'HVAC weighting'!$G$24))*IFERROR(VLOOKUP(RIGHT($D59,4),'HVAC weighting'!$A$3:$C$8,MATCH($C59,'HVAC weighting'!$B$3:$C$3,0)+1,FALSE),1)</f>
        <v>1.0966075339610864E-3</v>
      </c>
      <c r="L59" s="29">
        <f ca="1">VLOOKUP($C59,$D$29:$Y$30,L$27,FALSE)*$C$36*$A59/8760/1000*IF($C88="Manufactured",IF(RIGHT($D88,4)&lt;&gt;"ered",'HVAC weighting'!$G$17,'HVAC weighting'!$G$18),IF(RIGHT($D88,4)&lt;&gt;"ered",'HVAC weighting'!$G$23,'HVAC weighting'!$G$24))*IFERROR(VLOOKUP(RIGHT($D59,4),'HVAC weighting'!$A$3:$C$8,MATCH($C59,'HVAC weighting'!$B$3:$C$3,0)+1,FALSE),1)</f>
        <v>1.5044124090533844E-3</v>
      </c>
      <c r="M59" s="29">
        <f ca="1">VLOOKUP($C59,$D$29:$Y$30,M$27,FALSE)*$C$36*$A59/8760/1000*IF($C88="Manufactured",IF(RIGHT($D88,4)&lt;&gt;"ered",'HVAC weighting'!$G$17,'HVAC weighting'!$G$18),IF(RIGHT($D88,4)&lt;&gt;"ered",'HVAC weighting'!$G$23,'HVAC weighting'!$G$24))*IFERROR(VLOOKUP(RIGHT($D59,4),'HVAC weighting'!$A$3:$C$8,MATCH($C59,'HVAC weighting'!$B$3:$C$3,0)+1,FALSE),1)</f>
        <v>1.9291327272261088E-3</v>
      </c>
      <c r="N59" s="29">
        <f ca="1">VLOOKUP($C59,$D$29:$Y$30,N$27,FALSE)*$C$36*$A59/8760/1000*IF($C88="Manufactured",IF(RIGHT($D88,4)&lt;&gt;"ered",'HVAC weighting'!$G$17,'HVAC weighting'!$G$18),IF(RIGHT($D88,4)&lt;&gt;"ered",'HVAC weighting'!$G$23,'HVAC weighting'!$G$24))*IFERROR(VLOOKUP(RIGHT($D59,4),'HVAC weighting'!$A$3:$C$8,MATCH($C59,'HVAC weighting'!$B$3:$C$3,0)+1,FALSE),1)</f>
        <v>2.411474965827862E-3</v>
      </c>
      <c r="O59" s="29">
        <f ca="1">VLOOKUP($C59,$D$29:$Y$30,O$27,FALSE)*$C$36*$A59/8760/1000*IF($C88="Manufactured",IF(RIGHT($D88,4)&lt;&gt;"ered",'HVAC weighting'!$G$17,'HVAC weighting'!$G$18),IF(RIGHT($D88,4)&lt;&gt;"ered",'HVAC weighting'!$G$23,'HVAC weighting'!$G$24))*IFERROR(VLOOKUP(RIGHT($D59,4),'HVAC weighting'!$A$3:$C$8,MATCH($C59,'HVAC weighting'!$B$3:$C$3,0)+1,FALSE),1)</f>
        <v>2.8494213176984895E-3</v>
      </c>
      <c r="P59" s="29">
        <f ca="1">VLOOKUP($C59,$D$29:$Y$30,P$27,FALSE)*$C$36*$A59/8760/1000*IF($C88="Manufactured",IF(RIGHT($D88,4)&lt;&gt;"ered",'HVAC weighting'!$G$17,'HVAC weighting'!$G$18),IF(RIGHT($D88,4)&lt;&gt;"ered",'HVAC weighting'!$G$23,'HVAC weighting'!$G$24))*IFERROR(VLOOKUP(RIGHT($D59,4),'HVAC weighting'!$A$3:$C$8,MATCH($C59,'HVAC weighting'!$B$3:$C$3,0)+1,FALSE),1)</f>
        <v>3.1765753167479526E-3</v>
      </c>
      <c r="Q59" s="29">
        <f ca="1">VLOOKUP($C59,$D$29:$Y$30,Q$27,FALSE)*$C$36*$A59/8760/1000*IF($C88="Manufactured",IF(RIGHT($D88,4)&lt;&gt;"ered",'HVAC weighting'!$G$17,'HVAC weighting'!$G$18),IF(RIGHT($D88,4)&lt;&gt;"ered",'HVAC weighting'!$G$23,'HVAC weighting'!$G$24))*IFERROR(VLOOKUP(RIGHT($D59,4),'HVAC weighting'!$A$3:$C$8,MATCH($C59,'HVAC weighting'!$B$3:$C$3,0)+1,FALSE),1)</f>
        <v>3.3840336810092449E-3</v>
      </c>
      <c r="R59" s="29">
        <f ca="1">VLOOKUP($C59,$D$29:$Y$30,R$27,FALSE)*$C$36*$A59/8760/1000*IF($C88="Manufactured",IF(RIGHT($D88,4)&lt;&gt;"ered",'HVAC weighting'!$G$17,'HVAC weighting'!$G$18),IF(RIGHT($D88,4)&lt;&gt;"ered",'HVAC weighting'!$G$23,'HVAC weighting'!$G$24))*IFERROR(VLOOKUP(RIGHT($D59,4),'HVAC weighting'!$A$3:$C$8,MATCH($C59,'HVAC weighting'!$B$3:$C$3,0)+1,FALSE),1)</f>
        <v>3.61457792258365E-3</v>
      </c>
      <c r="S59" s="29">
        <f ca="1">VLOOKUP($C59,$D$29:$Y$30,S$27,FALSE)*$C$36*$A59/8760/1000*IF($C88="Manufactured",IF(RIGHT($D88,4)&lt;&gt;"ered",'HVAC weighting'!$G$17,'HVAC weighting'!$G$18),IF(RIGHT($D88,4)&lt;&gt;"ered",'HVAC weighting'!$G$23,'HVAC weighting'!$G$24))*IFERROR(VLOOKUP(RIGHT($D59,4),'HVAC weighting'!$A$3:$C$8,MATCH($C59,'HVAC weighting'!$B$3:$C$3,0)+1,FALSE),1)</f>
        <v>3.8259976661197109E-3</v>
      </c>
      <c r="T59" s="29">
        <f ca="1">VLOOKUP($C59,$D$29:$Y$30,T$27,FALSE)*$C$36*$A59/8760/1000*IF($C88="Manufactured",IF(RIGHT($D88,4)&lt;&gt;"ered",'HVAC weighting'!$G$17,'HVAC weighting'!$G$18),IF(RIGHT($D88,4)&lt;&gt;"ered",'HVAC weighting'!$G$23,'HVAC weighting'!$G$24))*IFERROR(VLOOKUP(RIGHT($D59,4),'HVAC weighting'!$A$3:$C$8,MATCH($C59,'HVAC weighting'!$B$3:$C$3,0)+1,FALSE),1)</f>
        <v>3.9276453912489373E-3</v>
      </c>
      <c r="U59" s="29">
        <f ca="1">VLOOKUP($C59,$D$29:$Y$30,U$27,FALSE)*$C$36*$A59/8760/1000*IF($C88="Manufactured",IF(RIGHT($D88,4)&lt;&gt;"ered",'HVAC weighting'!$G$17,'HVAC weighting'!$G$18),IF(RIGHT($D88,4)&lt;&gt;"ered",'HVAC weighting'!$G$23,'HVAC weighting'!$G$24))*IFERROR(VLOOKUP(RIGHT($D59,4),'HVAC weighting'!$A$3:$C$8,MATCH($C59,'HVAC weighting'!$B$3:$C$3,0)+1,FALSE),1)</f>
        <v>3.8737589757534209E-3</v>
      </c>
      <c r="V59" s="29">
        <f ca="1">VLOOKUP($C59,$D$29:$Y$30,V$27,FALSE)*$C$36*$A59/8760/1000*IF($C88="Manufactured",IF(RIGHT($D88,4)&lt;&gt;"ered",'HVAC weighting'!$G$17,'HVAC weighting'!$G$18),IF(RIGHT($D88,4)&lt;&gt;"ered",'HVAC weighting'!$G$23,'HVAC weighting'!$G$24))*IFERROR(VLOOKUP(RIGHT($D59,4),'HVAC weighting'!$A$3:$C$8,MATCH($C59,'HVAC weighting'!$B$3:$C$3,0)+1,FALSE),1)</f>
        <v>3.9154388069152189E-3</v>
      </c>
      <c r="W59" s="29">
        <f ca="1">VLOOKUP($C59,$D$29:$Y$30,W$27,FALSE)*$C$36*$A59/8760/1000*IF($C88="Manufactured",IF(RIGHT($D88,4)&lt;&gt;"ered",'HVAC weighting'!$G$17,'HVAC weighting'!$G$18),IF(RIGHT($D88,4)&lt;&gt;"ered",'HVAC weighting'!$G$23,'HVAC weighting'!$G$24))*IFERROR(VLOOKUP(RIGHT($D59,4),'HVAC weighting'!$A$3:$C$8,MATCH($C59,'HVAC weighting'!$B$3:$C$3,0)+1,FALSE),1)</f>
        <v>3.9548624572665015E-3</v>
      </c>
      <c r="X59" s="29">
        <f ca="1">VLOOKUP($C59,$D$29:$Y$30,X$27,FALSE)*$C$36*$A59/8760/1000*IF($C88="Manufactured",IF(RIGHT($D88,4)&lt;&gt;"ered",'HVAC weighting'!$G$17,'HVAC weighting'!$G$18),IF(RIGHT($D88,4)&lt;&gt;"ered",'HVAC weighting'!$G$23,'HVAC weighting'!$G$24))*IFERROR(VLOOKUP(RIGHT($D59,4),'HVAC weighting'!$A$3:$C$8,MATCH($C59,'HVAC weighting'!$B$3:$C$3,0)+1,FALSE),1)</f>
        <v>3.999025003824418E-3</v>
      </c>
      <c r="Y59" s="29">
        <f t="shared" ca="1" si="15"/>
        <v>4.5268465556828168E-2</v>
      </c>
      <c r="AA59" s="35">
        <f t="shared" ca="1" si="16"/>
        <v>4.5268465556828168E-2</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A60" s="58">
        <f t="shared" si="12"/>
        <v>25.501566796410994</v>
      </c>
      <c r="B60" s="58">
        <f t="shared" si="13"/>
        <v>5512.2395219051987</v>
      </c>
      <c r="C60" s="7" t="str">
        <f t="shared" si="17"/>
        <v>Manufactured</v>
      </c>
      <c r="D60" s="7" t="s">
        <v>491</v>
      </c>
      <c r="E60" s="29">
        <f ca="1">VLOOKUP($C60,$D$29:$Y$30,E$27,FALSE)*$C$36*$A60/8760/1000*IF($C89="Manufactured",IF(RIGHT($D89,4)&lt;&gt;"ered",'HVAC weighting'!$G$17,'HVAC weighting'!$G$18),IF(RIGHT($D89,4)&lt;&gt;"ered",'HVAC weighting'!$G$23,'HVAC weighting'!$G$24))*IFERROR(VLOOKUP(RIGHT($D60,4),'HVAC weighting'!$A$3:$C$8,MATCH($C60,'HVAC weighting'!$B$3:$C$3,0)+1,FALSE),1)</f>
        <v>3.8320049175614861E-6</v>
      </c>
      <c r="F60" s="29">
        <f ca="1">VLOOKUP($C60,$D$29:$Y$30,F$27,FALSE)*$C$36*$A60/8760/1000*IF($C89="Manufactured",IF(RIGHT($D89,4)&lt;&gt;"ered",'HVAC weighting'!$G$17,'HVAC weighting'!$G$18),IF(RIGHT($D89,4)&lt;&gt;"ered",'HVAC weighting'!$G$23,'HVAC weighting'!$G$24))*IFERROR(VLOOKUP(RIGHT($D60,4),'HVAC weighting'!$A$3:$C$8,MATCH($C60,'HVAC weighting'!$B$3:$C$3,0)+1,FALSE),1)</f>
        <v>9.9199840605649423E-6</v>
      </c>
      <c r="G60" s="29">
        <f ca="1">VLOOKUP($C60,$D$29:$Y$30,G$27,FALSE)*$C$36*$A60/8760/1000*IF($C89="Manufactured",IF(RIGHT($D89,4)&lt;&gt;"ered",'HVAC weighting'!$G$17,'HVAC weighting'!$G$18),IF(RIGHT($D89,4)&lt;&gt;"ered",'HVAC weighting'!$G$23,'HVAC weighting'!$G$24))*IFERROR(VLOOKUP(RIGHT($D60,4),'HVAC weighting'!$A$3:$C$8,MATCH($C60,'HVAC weighting'!$B$3:$C$3,0)+1,FALSE),1)</f>
        <v>2.2834727691388875E-5</v>
      </c>
      <c r="H60" s="29">
        <f ca="1">VLOOKUP($C60,$D$29:$Y$30,H$27,FALSE)*$C$36*$A60/8760/1000*IF($C89="Manufactured",IF(RIGHT($D89,4)&lt;&gt;"ered",'HVAC weighting'!$G$17,'HVAC weighting'!$G$18),IF(RIGHT($D89,4)&lt;&gt;"ered",'HVAC weighting'!$G$23,'HVAC weighting'!$G$24))*IFERROR(VLOOKUP(RIGHT($D60,4),'HVAC weighting'!$A$3:$C$8,MATCH($C60,'HVAC weighting'!$B$3:$C$3,0)+1,FALSE),1)</f>
        <v>4.6471175393855536E-5</v>
      </c>
      <c r="I60" s="29">
        <f ca="1">VLOOKUP($C60,$D$29:$Y$30,I$27,FALSE)*$C$36*$A60/8760/1000*IF($C89="Manufactured",IF(RIGHT($D89,4)&lt;&gt;"ered",'HVAC weighting'!$G$17,'HVAC weighting'!$G$18),IF(RIGHT($D89,4)&lt;&gt;"ered",'HVAC weighting'!$G$23,'HVAC weighting'!$G$24))*IFERROR(VLOOKUP(RIGHT($D60,4),'HVAC weighting'!$A$3:$C$8,MATCH($C60,'HVAC weighting'!$B$3:$C$3,0)+1,FALSE),1)</f>
        <v>7.9425224992942062E-5</v>
      </c>
      <c r="J60" s="29">
        <f ca="1">VLOOKUP($C60,$D$29:$Y$30,J$27,FALSE)*$C$36*$A60/8760/1000*IF($C89="Manufactured",IF(RIGHT($D89,4)&lt;&gt;"ered",'HVAC weighting'!$G$17,'HVAC weighting'!$G$18),IF(RIGHT($D89,4)&lt;&gt;"ered",'HVAC weighting'!$G$23,'HVAC weighting'!$G$24))*IFERROR(VLOOKUP(RIGHT($D60,4),'HVAC weighting'!$A$3:$C$8,MATCH($C60,'HVAC weighting'!$B$3:$C$3,0)+1,FALSE),1)</f>
        <v>1.2553336650883673E-4</v>
      </c>
      <c r="K60" s="29">
        <f ca="1">VLOOKUP($C60,$D$29:$Y$30,K$27,FALSE)*$C$36*$A60/8760/1000*IF($C89="Manufactured",IF(RIGHT($D89,4)&lt;&gt;"ered",'HVAC weighting'!$G$17,'HVAC weighting'!$G$18),IF(RIGHT($D89,4)&lt;&gt;"ered",'HVAC weighting'!$G$23,'HVAC weighting'!$G$24))*IFERROR(VLOOKUP(RIGHT($D60,4),'HVAC weighting'!$A$3:$C$8,MATCH($C60,'HVAC weighting'!$B$3:$C$3,0)+1,FALSE),1)</f>
        <v>1.8642748558868232E-4</v>
      </c>
      <c r="L60" s="29">
        <f ca="1">VLOOKUP($C60,$D$29:$Y$30,L$27,FALSE)*$C$36*$A60/8760/1000*IF($C89="Manufactured",IF(RIGHT($D89,4)&lt;&gt;"ered",'HVAC weighting'!$G$17,'HVAC weighting'!$G$18),IF(RIGHT($D89,4)&lt;&gt;"ered",'HVAC weighting'!$G$23,'HVAC weighting'!$G$24))*IFERROR(VLOOKUP(RIGHT($D60,4),'HVAC weighting'!$A$3:$C$8,MATCH($C60,'HVAC weighting'!$B$3:$C$3,0)+1,FALSE),1)</f>
        <v>2.5843294146358586E-4</v>
      </c>
      <c r="M60" s="29">
        <f ca="1">VLOOKUP($C60,$D$29:$Y$30,M$27,FALSE)*$C$36*$A60/8760/1000*IF($C89="Manufactured",IF(RIGHT($D89,4)&lt;&gt;"ered",'HVAC weighting'!$G$17,'HVAC weighting'!$G$18),IF(RIGHT($D89,4)&lt;&gt;"ered",'HVAC weighting'!$G$23,'HVAC weighting'!$G$24))*IFERROR(VLOOKUP(RIGHT($D60,4),'HVAC weighting'!$A$3:$C$8,MATCH($C60,'HVAC weighting'!$B$3:$C$3,0)+1,FALSE),1)</f>
        <v>3.3668393604732331E-4</v>
      </c>
      <c r="N60" s="29">
        <f ca="1">VLOOKUP($C60,$D$29:$Y$30,N$27,FALSE)*$C$36*$A60/8760/1000*IF($C89="Manufactured",IF(RIGHT($D89,4)&lt;&gt;"ered",'HVAC weighting'!$G$17,'HVAC weighting'!$G$18),IF(RIGHT($D89,4)&lt;&gt;"ered",'HVAC weighting'!$G$23,'HVAC weighting'!$G$24))*IFERROR(VLOOKUP(RIGHT($D60,4),'HVAC weighting'!$A$3:$C$8,MATCH($C60,'HVAC weighting'!$B$3:$C$3,0)+1,FALSE),1)</f>
        <v>4.1377768793210239E-4</v>
      </c>
      <c r="O60" s="29">
        <f ca="1">VLOOKUP($C60,$D$29:$Y$30,O$27,FALSE)*$C$36*$A60/8760/1000*IF($C89="Manufactured",IF(RIGHT($D89,4)&lt;&gt;"ered",'HVAC weighting'!$G$17,'HVAC weighting'!$G$18),IF(RIGHT($D89,4)&lt;&gt;"ered",'HVAC weighting'!$G$23,'HVAC weighting'!$G$24))*IFERROR(VLOOKUP(RIGHT($D60,4),'HVAC weighting'!$A$3:$C$8,MATCH($C60,'HVAC weighting'!$B$3:$C$3,0)+1,FALSE),1)</f>
        <v>4.8291213506235626E-4</v>
      </c>
      <c r="P60" s="29">
        <f ca="1">VLOOKUP($C60,$D$29:$Y$30,P$27,FALSE)*$C$36*$A60/8760/1000*IF($C89="Manufactured",IF(RIGHT($D89,4)&lt;&gt;"ered",'HVAC weighting'!$G$17,'HVAC weighting'!$G$18),IF(RIGHT($D89,4)&lt;&gt;"ered",'HVAC weighting'!$G$23,'HVAC weighting'!$G$24))*IFERROR(VLOOKUP(RIGHT($D60,4),'HVAC weighting'!$A$3:$C$8,MATCH($C60,'HVAC weighting'!$B$3:$C$3,0)+1,FALSE),1)</f>
        <v>5.4478531738960624E-4</v>
      </c>
      <c r="Q60" s="29">
        <f ca="1">VLOOKUP($C60,$D$29:$Y$30,Q$27,FALSE)*$C$36*$A60/8760/1000*IF($C89="Manufactured",IF(RIGHT($D89,4)&lt;&gt;"ered",'HVAC weighting'!$G$17,'HVAC weighting'!$G$18),IF(RIGHT($D89,4)&lt;&gt;"ered",'HVAC weighting'!$G$23,'HVAC weighting'!$G$24))*IFERROR(VLOOKUP(RIGHT($D60,4),'HVAC weighting'!$A$3:$C$8,MATCH($C60,'HVAC weighting'!$B$3:$C$3,0)+1,FALSE),1)</f>
        <v>5.9700523453007359E-4</v>
      </c>
      <c r="R60" s="29">
        <f ca="1">VLOOKUP($C60,$D$29:$Y$30,R$27,FALSE)*$C$36*$A60/8760/1000*IF($C89="Manufactured",IF(RIGHT($D89,4)&lt;&gt;"ered",'HVAC weighting'!$G$17,'HVAC weighting'!$G$18),IF(RIGHT($D89,4)&lt;&gt;"ered",'HVAC weighting'!$G$23,'HVAC weighting'!$G$24))*IFERROR(VLOOKUP(RIGHT($D60,4),'HVAC weighting'!$A$3:$C$8,MATCH($C60,'HVAC weighting'!$B$3:$C$3,0)+1,FALSE),1)</f>
        <v>6.3772483314806702E-4</v>
      </c>
      <c r="S60" s="29">
        <f ca="1">VLOOKUP($C60,$D$29:$Y$30,S$27,FALSE)*$C$36*$A60/8760/1000*IF($C89="Manufactured",IF(RIGHT($D89,4)&lt;&gt;"ered",'HVAC weighting'!$G$17,'HVAC weighting'!$G$18),IF(RIGHT($D89,4)&lt;&gt;"ered",'HVAC weighting'!$G$23,'HVAC weighting'!$G$24))*IFERROR(VLOOKUP(RIGHT($D60,4),'HVAC weighting'!$A$3:$C$8,MATCH($C60,'HVAC weighting'!$B$3:$C$3,0)+1,FALSE),1)</f>
        <v>6.6748148936324203E-4</v>
      </c>
      <c r="T60" s="29">
        <f ca="1">VLOOKUP($C60,$D$29:$Y$30,T$27,FALSE)*$C$36*$A60/8760/1000*IF($C89="Manufactured",IF(RIGHT($D89,4)&lt;&gt;"ered",'HVAC weighting'!$G$17,'HVAC weighting'!$G$18),IF(RIGHT($D89,4)&lt;&gt;"ered",'HVAC weighting'!$G$23,'HVAC weighting'!$G$24))*IFERROR(VLOOKUP(RIGHT($D60,4),'HVAC weighting'!$A$3:$C$8,MATCH($C60,'HVAC weighting'!$B$3:$C$3,0)+1,FALSE),1)</f>
        <v>6.8781160939088571E-4</v>
      </c>
      <c r="U60" s="29">
        <f ca="1">VLOOKUP($C60,$D$29:$Y$30,U$27,FALSE)*$C$36*$A60/8760/1000*IF($C89="Manufactured",IF(RIGHT($D89,4)&lt;&gt;"ered",'HVAC weighting'!$G$17,'HVAC weighting'!$G$18),IF(RIGHT($D89,4)&lt;&gt;"ered",'HVAC weighting'!$G$23,'HVAC weighting'!$G$24))*IFERROR(VLOOKUP(RIGHT($D60,4),'HVAC weighting'!$A$3:$C$8,MATCH($C60,'HVAC weighting'!$B$3:$C$3,0)+1,FALSE),1)</f>
        <v>7.0110689673019472E-4</v>
      </c>
      <c r="V60" s="29">
        <f ca="1">VLOOKUP($C60,$D$29:$Y$30,V$27,FALSE)*$C$36*$A60/8760/1000*IF($C89="Manufactured",IF(RIGHT($D89,4)&lt;&gt;"ered",'HVAC weighting'!$G$17,'HVAC weighting'!$G$18),IF(RIGHT($D89,4)&lt;&gt;"ered",'HVAC weighting'!$G$23,'HVAC weighting'!$G$24))*IFERROR(VLOOKUP(RIGHT($D60,4),'HVAC weighting'!$A$3:$C$8,MATCH($C60,'HVAC weighting'!$B$3:$C$3,0)+1,FALSE),1)</f>
        <v>7.0994337324336242E-4</v>
      </c>
      <c r="W60" s="29">
        <f ca="1">VLOOKUP($C60,$D$29:$Y$30,W$27,FALSE)*$C$36*$A60/8760/1000*IF($C89="Manufactured",IF(RIGHT($D89,4)&lt;&gt;"ered",'HVAC weighting'!$G$17,'HVAC weighting'!$G$18),IF(RIGHT($D89,4)&lt;&gt;"ered",'HVAC weighting'!$G$23,'HVAC weighting'!$G$24))*IFERROR(VLOOKUP(RIGHT($D60,4),'HVAC weighting'!$A$3:$C$8,MATCH($C60,'HVAC weighting'!$B$3:$C$3,0)+1,FALSE),1)</f>
        <v>7.1549238988929389E-4</v>
      </c>
      <c r="X60" s="29">
        <f ca="1">VLOOKUP($C60,$D$29:$Y$30,X$27,FALSE)*$C$36*$A60/8760/1000*IF($C89="Manufactured",IF(RIGHT($D89,4)&lt;&gt;"ered",'HVAC weighting'!$G$17,'HVAC weighting'!$G$18),IF(RIGHT($D89,4)&lt;&gt;"ered",'HVAC weighting'!$G$23,'HVAC weighting'!$G$24))*IFERROR(VLOOKUP(RIGHT($D60,4),'HVAC weighting'!$A$3:$C$8,MATCH($C60,'HVAC weighting'!$B$3:$C$3,0)+1,FALSE),1)</f>
        <v>7.1868834317085023E-4</v>
      </c>
      <c r="Y60" s="29">
        <f t="shared" ca="1" si="15"/>
        <v>7.946290156514775E-3</v>
      </c>
      <c r="AA60" s="35">
        <f t="shared" ca="1" si="16"/>
        <v>7.946290156514775E-3</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58">
        <f t="shared" si="12"/>
        <v>24.359737456425254</v>
      </c>
      <c r="B61" s="58">
        <f t="shared" si="13"/>
        <v>5772.7243738645357</v>
      </c>
      <c r="C61" s="7" t="str">
        <f t="shared" si="17"/>
        <v>Single Family</v>
      </c>
      <c r="D61" s="7" t="s">
        <v>480</v>
      </c>
      <c r="E61" s="29">
        <f ca="1">VLOOKUP($C61,$D$29:$Y$30,E$27,FALSE)*$C$36*$A61/8760/1000*IF($C90="Manufactured",IF(RIGHT($D90,4)&lt;&gt;"ered",'HVAC weighting'!$G$17,'HVAC weighting'!$G$18),IF(RIGHT($D90,4)&lt;&gt;"ered",'HVAC weighting'!$G$23,'HVAC weighting'!$G$24))*IFERROR(VLOOKUP(RIGHT($D61,4),'HVAC weighting'!$A$3:$C$8,MATCH($C61,'HVAC weighting'!$B$3:$C$3,0)+1,FALSE),1)</f>
        <v>8.4350434576833372E-6</v>
      </c>
      <c r="F61" s="29">
        <f ca="1">VLOOKUP($C61,$D$29:$Y$30,F$27,FALSE)*$C$36*$A61/8760/1000*IF($C90="Manufactured",IF(RIGHT($D90,4)&lt;&gt;"ered",'HVAC weighting'!$G$17,'HVAC weighting'!$G$18),IF(RIGHT($D90,4)&lt;&gt;"ered",'HVAC weighting'!$G$23,'HVAC weighting'!$G$24))*IFERROR(VLOOKUP(RIGHT($D61,4),'HVAC weighting'!$A$3:$C$8,MATCH($C61,'HVAC weighting'!$B$3:$C$3,0)+1,FALSE),1)</f>
        <v>2.0751440560487992E-5</v>
      </c>
      <c r="G61" s="29">
        <f ca="1">VLOOKUP($C61,$D$29:$Y$30,G$27,FALSE)*$C$36*$A61/8760/1000*IF($C90="Manufactured",IF(RIGHT($D90,4)&lt;&gt;"ered",'HVAC weighting'!$G$17,'HVAC weighting'!$G$18),IF(RIGHT($D90,4)&lt;&gt;"ered",'HVAC weighting'!$G$23,'HVAC weighting'!$G$24))*IFERROR(VLOOKUP(RIGHT($D61,4),'HVAC weighting'!$A$3:$C$8,MATCH($C61,'HVAC weighting'!$B$3:$C$3,0)+1,FALSE),1)</f>
        <v>4.3711711694366169E-5</v>
      </c>
      <c r="H61" s="29">
        <f ca="1">VLOOKUP($C61,$D$29:$Y$30,H$27,FALSE)*$C$36*$A61/8760/1000*IF($C90="Manufactured",IF(RIGHT($D90,4)&lt;&gt;"ered",'HVAC weighting'!$G$17,'HVAC weighting'!$G$18),IF(RIGHT($D90,4)&lt;&gt;"ered",'HVAC weighting'!$G$23,'HVAC weighting'!$G$24))*IFERROR(VLOOKUP(RIGHT($D61,4),'HVAC weighting'!$A$3:$C$8,MATCH($C61,'HVAC weighting'!$B$3:$C$3,0)+1,FALSE),1)</f>
        <v>8.2995829058108475E-5</v>
      </c>
      <c r="I61" s="29">
        <f ca="1">VLOOKUP($C61,$D$29:$Y$30,I$27,FALSE)*$C$36*$A61/8760/1000*IF($C90="Manufactured",IF(RIGHT($D90,4)&lt;&gt;"ered",'HVAC weighting'!$G$17,'HVAC weighting'!$G$18),IF(RIGHT($D90,4)&lt;&gt;"ered",'HVAC weighting'!$G$23,'HVAC weighting'!$G$24))*IFERROR(VLOOKUP(RIGHT($D61,4),'HVAC weighting'!$A$3:$C$8,MATCH($C61,'HVAC weighting'!$B$3:$C$3,0)+1,FALSE),1)</f>
        <v>1.4238414493909985E-4</v>
      </c>
      <c r="J61" s="29">
        <f ca="1">VLOOKUP($C61,$D$29:$Y$30,J$27,FALSE)*$C$36*$A61/8760/1000*IF($C90="Manufactured",IF(RIGHT($D90,4)&lt;&gt;"ered",'HVAC weighting'!$G$17,'HVAC weighting'!$G$18),IF(RIGHT($D90,4)&lt;&gt;"ered",'HVAC weighting'!$G$23,'HVAC weighting'!$G$24))*IFERROR(VLOOKUP(RIGHT($D61,4),'HVAC weighting'!$A$3:$C$8,MATCH($C61,'HVAC weighting'!$B$3:$C$3,0)+1,FALSE),1)</f>
        <v>2.17858735438857E-4</v>
      </c>
      <c r="K61" s="29">
        <f ca="1">VLOOKUP($C61,$D$29:$Y$30,K$27,FALSE)*$C$36*$A61/8760/1000*IF($C90="Manufactured",IF(RIGHT($D90,4)&lt;&gt;"ered",'HVAC weighting'!$G$17,'HVAC weighting'!$G$18),IF(RIGHT($D90,4)&lt;&gt;"ered",'HVAC weighting'!$G$23,'HVAC weighting'!$G$24))*IFERROR(VLOOKUP(RIGHT($D61,4),'HVAC weighting'!$A$3:$C$8,MATCH($C61,'HVAC weighting'!$B$3:$C$3,0)+1,FALSE),1)</f>
        <v>3.134861177686751E-4</v>
      </c>
      <c r="L61" s="29">
        <f ca="1">VLOOKUP($C61,$D$29:$Y$30,L$27,FALSE)*$C$36*$A61/8760/1000*IF($C90="Manufactured",IF(RIGHT($D90,4)&lt;&gt;"ered",'HVAC weighting'!$G$17,'HVAC weighting'!$G$18),IF(RIGHT($D90,4)&lt;&gt;"ered",'HVAC weighting'!$G$23,'HVAC weighting'!$G$24))*IFERROR(VLOOKUP(RIGHT($D61,4),'HVAC weighting'!$A$3:$C$8,MATCH($C61,'HVAC weighting'!$B$3:$C$3,0)+1,FALSE),1)</f>
        <v>4.3006489653927627E-4</v>
      </c>
      <c r="M61" s="29">
        <f ca="1">VLOOKUP($C61,$D$29:$Y$30,M$27,FALSE)*$C$36*$A61/8760/1000*IF($C90="Manufactured",IF(RIGHT($D90,4)&lt;&gt;"ered",'HVAC weighting'!$G$17,'HVAC weighting'!$G$18),IF(RIGHT($D90,4)&lt;&gt;"ered",'HVAC weighting'!$G$23,'HVAC weighting'!$G$24))*IFERROR(VLOOKUP(RIGHT($D61,4),'HVAC weighting'!$A$3:$C$8,MATCH($C61,'HVAC weighting'!$B$3:$C$3,0)+1,FALSE),1)</f>
        <v>5.5147927639540495E-4</v>
      </c>
      <c r="N61" s="29">
        <f ca="1">VLOOKUP($C61,$D$29:$Y$30,N$27,FALSE)*$C$36*$A61/8760/1000*IF($C90="Manufactured",IF(RIGHT($D90,4)&lt;&gt;"ered",'HVAC weighting'!$G$17,'HVAC weighting'!$G$18),IF(RIGHT($D90,4)&lt;&gt;"ered",'HVAC weighting'!$G$23,'HVAC weighting'!$G$24))*IFERROR(VLOOKUP(RIGHT($D61,4),'HVAC weighting'!$A$3:$C$8,MATCH($C61,'HVAC weighting'!$B$3:$C$3,0)+1,FALSE),1)</f>
        <v>6.8936597800225443E-4</v>
      </c>
      <c r="O61" s="29">
        <f ca="1">VLOOKUP($C61,$D$29:$Y$30,O$27,FALSE)*$C$36*$A61/8760/1000*IF($C90="Manufactured",IF(RIGHT($D90,4)&lt;&gt;"ered",'HVAC weighting'!$G$17,'HVAC weighting'!$G$18),IF(RIGHT($D90,4)&lt;&gt;"ered",'HVAC weighting'!$G$23,'HVAC weighting'!$G$24))*IFERROR(VLOOKUP(RIGHT($D61,4),'HVAC weighting'!$A$3:$C$8,MATCH($C61,'HVAC weighting'!$B$3:$C$3,0)+1,FALSE),1)</f>
        <v>8.1456127111041688E-4</v>
      </c>
      <c r="P61" s="29">
        <f ca="1">VLOOKUP($C61,$D$29:$Y$30,P$27,FALSE)*$C$36*$A61/8760/1000*IF($C90="Manufactured",IF(RIGHT($D90,4)&lt;&gt;"ered",'HVAC weighting'!$G$17,'HVAC weighting'!$G$18),IF(RIGHT($D90,4)&lt;&gt;"ered",'HVAC weighting'!$G$23,'HVAC weighting'!$G$24))*IFERROR(VLOOKUP(RIGHT($D61,4),'HVAC weighting'!$A$3:$C$8,MATCH($C61,'HVAC weighting'!$B$3:$C$3,0)+1,FALSE),1)</f>
        <v>9.0808446322643256E-4</v>
      </c>
      <c r="Q61" s="29">
        <f ca="1">VLOOKUP($C61,$D$29:$Y$30,Q$27,FALSE)*$C$36*$A61/8760/1000*IF($C90="Manufactured",IF(RIGHT($D90,4)&lt;&gt;"ered",'HVAC weighting'!$G$17,'HVAC weighting'!$G$18),IF(RIGHT($D90,4)&lt;&gt;"ered",'HVAC weighting'!$G$23,'HVAC weighting'!$G$24))*IFERROR(VLOOKUP(RIGHT($D61,4),'HVAC weighting'!$A$3:$C$8,MATCH($C61,'HVAC weighting'!$B$3:$C$3,0)+1,FALSE),1)</f>
        <v>9.6739038188631634E-4</v>
      </c>
      <c r="R61" s="29">
        <f ca="1">VLOOKUP($C61,$D$29:$Y$30,R$27,FALSE)*$C$36*$A61/8760/1000*IF($C90="Manufactured",IF(RIGHT($D90,4)&lt;&gt;"ered",'HVAC weighting'!$G$17,'HVAC weighting'!$G$18),IF(RIGHT($D90,4)&lt;&gt;"ered",'HVAC weighting'!$G$23,'HVAC weighting'!$G$24))*IFERROR(VLOOKUP(RIGHT($D61,4),'HVAC weighting'!$A$3:$C$8,MATCH($C61,'HVAC weighting'!$B$3:$C$3,0)+1,FALSE),1)</f>
        <v>1.0332958376002917E-3</v>
      </c>
      <c r="S61" s="29">
        <f ca="1">VLOOKUP($C61,$D$29:$Y$30,S$27,FALSE)*$C$36*$A61/8760/1000*IF($C90="Manufactured",IF(RIGHT($D90,4)&lt;&gt;"ered",'HVAC weighting'!$G$17,'HVAC weighting'!$G$18),IF(RIGHT($D90,4)&lt;&gt;"ered",'HVAC weighting'!$G$23,'HVAC weighting'!$G$24))*IFERROR(VLOOKUP(RIGHT($D61,4),'HVAC weighting'!$A$3:$C$8,MATCH($C61,'HVAC weighting'!$B$3:$C$3,0)+1,FALSE),1)</f>
        <v>1.0937341918594195E-3</v>
      </c>
      <c r="T61" s="29">
        <f ca="1">VLOOKUP($C61,$D$29:$Y$30,T$27,FALSE)*$C$36*$A61/8760/1000*IF($C90="Manufactured",IF(RIGHT($D90,4)&lt;&gt;"ered",'HVAC weighting'!$G$17,'HVAC weighting'!$G$18),IF(RIGHT($D90,4)&lt;&gt;"ered",'HVAC weighting'!$G$23,'HVAC weighting'!$G$24))*IFERROR(VLOOKUP(RIGHT($D61,4),'HVAC weighting'!$A$3:$C$8,MATCH($C61,'HVAC weighting'!$B$3:$C$3,0)+1,FALSE),1)</f>
        <v>1.1227921271224372E-3</v>
      </c>
      <c r="U61" s="29">
        <f ca="1">VLOOKUP($C61,$D$29:$Y$30,U$27,FALSE)*$C$36*$A61/8760/1000*IF($C90="Manufactured",IF(RIGHT($D90,4)&lt;&gt;"ered",'HVAC weighting'!$G$17,'HVAC weighting'!$G$18),IF(RIGHT($D90,4)&lt;&gt;"ered",'HVAC weighting'!$G$23,'HVAC weighting'!$G$24))*IFERROR(VLOOKUP(RIGHT($D61,4),'HVAC weighting'!$A$3:$C$8,MATCH($C61,'HVAC weighting'!$B$3:$C$3,0)+1,FALSE),1)</f>
        <v>1.1073876704950595E-3</v>
      </c>
      <c r="V61" s="29">
        <f ca="1">VLOOKUP($C61,$D$29:$Y$30,V$27,FALSE)*$C$36*$A61/8760/1000*IF($C90="Manufactured",IF(RIGHT($D90,4)&lt;&gt;"ered",'HVAC weighting'!$G$17,'HVAC weighting'!$G$18),IF(RIGHT($D90,4)&lt;&gt;"ered",'HVAC weighting'!$G$23,'HVAC weighting'!$G$24))*IFERROR(VLOOKUP(RIGHT($D61,4),'HVAC weighting'!$A$3:$C$8,MATCH($C61,'HVAC weighting'!$B$3:$C$3,0)+1,FALSE),1)</f>
        <v>1.1193026428580248E-3</v>
      </c>
      <c r="W61" s="29">
        <f ca="1">VLOOKUP($C61,$D$29:$Y$30,W$27,FALSE)*$C$36*$A61/8760/1000*IF($C90="Manufactured",IF(RIGHT($D90,4)&lt;&gt;"ered",'HVAC weighting'!$G$17,'HVAC weighting'!$G$18),IF(RIGHT($D90,4)&lt;&gt;"ered",'HVAC weighting'!$G$23,'HVAC weighting'!$G$24))*IFERROR(VLOOKUP(RIGHT($D61,4),'HVAC weighting'!$A$3:$C$8,MATCH($C61,'HVAC weighting'!$B$3:$C$3,0)+1,FALSE),1)</f>
        <v>1.1305726430305128E-3</v>
      </c>
      <c r="X61" s="29">
        <f ca="1">VLOOKUP($C61,$D$29:$Y$30,X$27,FALSE)*$C$36*$A61/8760/1000*IF($C90="Manufactured",IF(RIGHT($D90,4)&lt;&gt;"ered",'HVAC weighting'!$G$17,'HVAC weighting'!$G$18),IF(RIGHT($D90,4)&lt;&gt;"ered",'HVAC weighting'!$G$23,'HVAC weighting'!$G$24))*IFERROR(VLOOKUP(RIGHT($D61,4),'HVAC weighting'!$A$3:$C$8,MATCH($C61,'HVAC weighting'!$B$3:$C$3,0)+1,FALSE),1)</f>
        <v>1.1431973468032583E-3</v>
      </c>
      <c r="Y61" s="29">
        <f t="shared" ca="1" si="15"/>
        <v>1.2940851749846383E-2</v>
      </c>
      <c r="AA61" s="35">
        <f t="shared" ca="1" si="16"/>
        <v>1.2940851749846383E-2</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A62" s="35"/>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68">
        <f ca="1">SUMPRODUCT(B38:B61,AA38:AA61)/SUM(AA38:AA61)</f>
        <v>176.87243118701844</v>
      </c>
      <c r="E63" s="29">
        <f ca="1">SUM(E38:E61)</f>
        <v>1.4251069757997992E-2</v>
      </c>
      <c r="F63" s="29">
        <f t="shared" ref="F63:Y63" ca="1" si="18">SUM(F38:F61)</f>
        <v>3.5139757382008321E-2</v>
      </c>
      <c r="G63" s="29">
        <f t="shared" ca="1" si="18"/>
        <v>7.4334852188838382E-2</v>
      </c>
      <c r="H63" s="29">
        <f t="shared" ca="1" si="18"/>
        <v>0.14164626922899012</v>
      </c>
      <c r="I63" s="29">
        <f t="shared" ca="1" si="18"/>
        <v>0.24295383067041365</v>
      </c>
      <c r="J63" s="29">
        <f t="shared" ca="1" si="18"/>
        <v>0.37238902902953092</v>
      </c>
      <c r="K63" s="29">
        <f t="shared" ca="1" si="18"/>
        <v>0.53678726367139717</v>
      </c>
      <c r="L63" s="29">
        <f t="shared" ca="1" si="18"/>
        <v>0.73684186952892405</v>
      </c>
      <c r="M63" s="29">
        <f t="shared" ca="1" si="18"/>
        <v>0.94572400969507975</v>
      </c>
      <c r="N63" s="29">
        <f t="shared" ca="1" si="18"/>
        <v>1.1810325387189176</v>
      </c>
      <c r="O63" s="29">
        <f t="shared" ca="1" si="18"/>
        <v>1.3945424616358875</v>
      </c>
      <c r="P63" s="29">
        <f t="shared" ca="1" si="18"/>
        <v>1.5557000046069021</v>
      </c>
      <c r="Q63" s="29">
        <f t="shared" ca="1" si="18"/>
        <v>1.6600043242015732</v>
      </c>
      <c r="R63" s="29">
        <f t="shared" ca="1" si="18"/>
        <v>1.7731032256976853</v>
      </c>
      <c r="S63" s="29">
        <f t="shared" ca="1" si="18"/>
        <v>1.8755878970401161</v>
      </c>
      <c r="T63" s="29">
        <f t="shared" ca="1" si="18"/>
        <v>1.9258396952169707</v>
      </c>
      <c r="U63" s="29">
        <f t="shared" ca="1" si="18"/>
        <v>1.9031105782901163</v>
      </c>
      <c r="V63" s="29">
        <f t="shared" ca="1" si="18"/>
        <v>1.9237971968982202</v>
      </c>
      <c r="W63" s="29">
        <f t="shared" ca="1" si="18"/>
        <v>1.9429076585095504</v>
      </c>
      <c r="X63" s="29">
        <f t="shared" ca="1" si="18"/>
        <v>1.963824646634013</v>
      </c>
      <c r="Y63" s="29">
        <f t="shared" ca="1" si="18"/>
        <v>22.199518178603135</v>
      </c>
      <c r="AA63" s="35">
        <f t="shared" ref="AA63" ca="1" si="19">SUM(E63:Y63)</f>
        <v>44.399036357206271</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E64" s="29">
        <f ca="1">E63</f>
        <v>1.4251069757997992E-2</v>
      </c>
      <c r="F64" s="29">
        <f ca="1">F63+E64</f>
        <v>4.939082714000631E-2</v>
      </c>
      <c r="G64" s="29">
        <f t="shared" ref="G64:X64" ca="1" si="20">G63+F64</f>
        <v>0.12372567932884469</v>
      </c>
      <c r="H64" s="29">
        <f t="shared" ca="1" si="20"/>
        <v>0.2653719485578348</v>
      </c>
      <c r="I64" s="29">
        <f t="shared" ca="1" si="20"/>
        <v>0.50832577922824851</v>
      </c>
      <c r="J64" s="29">
        <f t="shared" ca="1" si="20"/>
        <v>0.88071480825777937</v>
      </c>
      <c r="K64" s="29">
        <f t="shared" ca="1" si="20"/>
        <v>1.4175020719291767</v>
      </c>
      <c r="L64" s="29">
        <f t="shared" ca="1" si="20"/>
        <v>2.1543439414581007</v>
      </c>
      <c r="M64" s="29">
        <f t="shared" ca="1" si="20"/>
        <v>3.1000679511531803</v>
      </c>
      <c r="N64" s="29">
        <f t="shared" ca="1" si="20"/>
        <v>4.2811004898720979</v>
      </c>
      <c r="O64" s="29">
        <f t="shared" ca="1" si="20"/>
        <v>5.6756429515079851</v>
      </c>
      <c r="P64" s="29">
        <f t="shared" ca="1" si="20"/>
        <v>7.2313429561148874</v>
      </c>
      <c r="Q64" s="29">
        <f t="shared" ca="1" si="20"/>
        <v>8.8913472803164613</v>
      </c>
      <c r="R64" s="29">
        <f t="shared" ca="1" si="20"/>
        <v>10.664450506014147</v>
      </c>
      <c r="S64" s="29">
        <f t="shared" ca="1" si="20"/>
        <v>12.540038403054263</v>
      </c>
      <c r="T64" s="29">
        <f t="shared" ca="1" si="20"/>
        <v>14.465878098271233</v>
      </c>
      <c r="U64" s="29">
        <f t="shared" ca="1" si="20"/>
        <v>16.368988676561351</v>
      </c>
      <c r="V64" s="29">
        <f t="shared" ca="1" si="20"/>
        <v>18.292785873459572</v>
      </c>
      <c r="W64" s="29">
        <f t="shared" ca="1" si="20"/>
        <v>20.235693531969122</v>
      </c>
      <c r="X64" s="29">
        <f t="shared" ca="1" si="20"/>
        <v>22.199518178603135</v>
      </c>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ht="15">
      <c r="A66" s="56" t="s">
        <v>70</v>
      </c>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ht="15">
      <c r="E67" s="59">
        <f t="shared" ref="E67:X67" si="21">E11</f>
        <v>2016</v>
      </c>
      <c r="F67" s="60">
        <f t="shared" si="21"/>
        <v>2017</v>
      </c>
      <c r="G67" s="60">
        <f t="shared" si="21"/>
        <v>2018</v>
      </c>
      <c r="H67" s="60">
        <f t="shared" si="21"/>
        <v>2019</v>
      </c>
      <c r="I67" s="60">
        <f t="shared" si="21"/>
        <v>2020</v>
      </c>
      <c r="J67" s="60">
        <f t="shared" si="21"/>
        <v>2021</v>
      </c>
      <c r="K67" s="60">
        <f t="shared" si="21"/>
        <v>2022</v>
      </c>
      <c r="L67" s="60">
        <f t="shared" si="21"/>
        <v>2023</v>
      </c>
      <c r="M67" s="60">
        <f t="shared" si="21"/>
        <v>2024</v>
      </c>
      <c r="N67" s="60">
        <f t="shared" si="21"/>
        <v>2025</v>
      </c>
      <c r="O67" s="60">
        <f t="shared" si="21"/>
        <v>2026</v>
      </c>
      <c r="P67" s="60">
        <f t="shared" si="21"/>
        <v>2027</v>
      </c>
      <c r="Q67" s="60">
        <f t="shared" si="21"/>
        <v>2028</v>
      </c>
      <c r="R67" s="60">
        <f t="shared" si="21"/>
        <v>2029</v>
      </c>
      <c r="S67" s="60">
        <f t="shared" si="21"/>
        <v>2030</v>
      </c>
      <c r="T67" s="60">
        <f t="shared" si="21"/>
        <v>2031</v>
      </c>
      <c r="U67" s="60">
        <f t="shared" si="21"/>
        <v>2032</v>
      </c>
      <c r="V67" s="60">
        <f t="shared" si="21"/>
        <v>2033</v>
      </c>
      <c r="W67" s="60">
        <f t="shared" si="21"/>
        <v>2034</v>
      </c>
      <c r="X67" s="60">
        <f t="shared" si="21"/>
        <v>2035</v>
      </c>
      <c r="Y67" s="61" t="s">
        <v>63</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ht="15">
      <c r="C68" s="50" t="s">
        <v>67</v>
      </c>
      <c r="D68" s="50" t="s">
        <v>67</v>
      </c>
      <c r="E68" s="62" t="str">
        <f>CONCATENATE("aMW_",E$11)</f>
        <v>aMW_2016</v>
      </c>
      <c r="F68" s="63" t="str">
        <f t="shared" ref="F68:X68" si="22">CONCATENATE("aMW_",F$11)</f>
        <v>aMW_2017</v>
      </c>
      <c r="G68" s="63" t="str">
        <f t="shared" si="22"/>
        <v>aMW_2018</v>
      </c>
      <c r="H68" s="63" t="str">
        <f t="shared" si="22"/>
        <v>aMW_2019</v>
      </c>
      <c r="I68" s="63" t="str">
        <f t="shared" si="22"/>
        <v>aMW_2020</v>
      </c>
      <c r="J68" s="63" t="str">
        <f t="shared" si="22"/>
        <v>aMW_2021</v>
      </c>
      <c r="K68" s="63" t="str">
        <f t="shared" si="22"/>
        <v>aMW_2022</v>
      </c>
      <c r="L68" s="63" t="str">
        <f t="shared" si="22"/>
        <v>aMW_2023</v>
      </c>
      <c r="M68" s="63" t="str">
        <f t="shared" si="22"/>
        <v>aMW_2024</v>
      </c>
      <c r="N68" s="63" t="str">
        <f t="shared" si="22"/>
        <v>aMW_2025</v>
      </c>
      <c r="O68" s="63" t="str">
        <f t="shared" si="22"/>
        <v>aMW_2026</v>
      </c>
      <c r="P68" s="63" t="str">
        <f t="shared" si="22"/>
        <v>aMW_2027</v>
      </c>
      <c r="Q68" s="63" t="str">
        <f t="shared" si="22"/>
        <v>aMW_2028</v>
      </c>
      <c r="R68" s="63" t="str">
        <f t="shared" si="22"/>
        <v>aMW_2029</v>
      </c>
      <c r="S68" s="63" t="str">
        <f t="shared" si="22"/>
        <v>aMW_2030</v>
      </c>
      <c r="T68" s="63" t="str">
        <f t="shared" si="22"/>
        <v>aMW_2031</v>
      </c>
      <c r="U68" s="63" t="str">
        <f t="shared" si="22"/>
        <v>aMW_2032</v>
      </c>
      <c r="V68" s="63" t="str">
        <f t="shared" si="22"/>
        <v>aMW_2033</v>
      </c>
      <c r="W68" s="63" t="str">
        <f t="shared" si="22"/>
        <v>aMW_2034</v>
      </c>
      <c r="X68" s="63" t="str">
        <f t="shared" si="22"/>
        <v>aMW_2035</v>
      </c>
      <c r="Y68" s="64" t="s">
        <v>63</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B69" s="7" t="s">
        <v>71</v>
      </c>
      <c r="C69" s="51" t="s">
        <v>72</v>
      </c>
      <c r="D69" s="51" t="s">
        <v>73</v>
      </c>
      <c r="E69" s="29">
        <f>DSUM($B$37:$X$61,E$37,$C$68:$D69)</f>
        <v>0</v>
      </c>
      <c r="F69" s="29">
        <f>DSUM($B$37:$X$61,F$37,$C$68:$D69)</f>
        <v>0</v>
      </c>
      <c r="G69" s="29">
        <f>DSUM($B$37:$X$61,G$37,$C$68:$D69)</f>
        <v>0</v>
      </c>
      <c r="H69" s="29">
        <f>DSUM($B$37:$X$61,H$37,$C$68:$D69)</f>
        <v>0</v>
      </c>
      <c r="I69" s="29">
        <f>DSUM($B$37:$X$61,I$37,$C$68:$D69)</f>
        <v>0</v>
      </c>
      <c r="J69" s="29">
        <f>DSUM($B$37:$X$61,J$37,$C$68:$D69)</f>
        <v>0</v>
      </c>
      <c r="K69" s="29">
        <f>DSUM($B$37:$X$61,K$37,$C$68:$D69)</f>
        <v>0</v>
      </c>
      <c r="L69" s="29">
        <f>DSUM($B$37:$X$61,L$37,$C$68:$D69)</f>
        <v>0</v>
      </c>
      <c r="M69" s="29">
        <f>DSUM($B$37:$X$61,M$37,$C$68:$D69)</f>
        <v>0</v>
      </c>
      <c r="N69" s="29">
        <f>DSUM($B$37:$X$61,N$37,$C$68:$D69)</f>
        <v>0</v>
      </c>
      <c r="O69" s="29">
        <f>DSUM($B$37:$X$61,O$37,$C$68:$D69)</f>
        <v>0</v>
      </c>
      <c r="P69" s="29">
        <f>DSUM($B$37:$X$61,P$37,$C$68:$D69)</f>
        <v>0</v>
      </c>
      <c r="Q69" s="29">
        <f>DSUM($B$37:$X$61,Q$37,$C$68:$D69)</f>
        <v>0</v>
      </c>
      <c r="R69" s="29">
        <f>DSUM($B$37:$X$61,R$37,$C$68:$D69)</f>
        <v>0</v>
      </c>
      <c r="S69" s="29">
        <f>DSUM($B$37:$X$61,S$37,$C$68:$D69)</f>
        <v>0</v>
      </c>
      <c r="T69" s="29">
        <f>DSUM($B$37:$X$61,T$37,$C$68:$D69)</f>
        <v>0</v>
      </c>
      <c r="U69" s="29">
        <f>DSUM($B$37:$X$61,U$37,$C$68:$D69)</f>
        <v>0</v>
      </c>
      <c r="V69" s="29">
        <f>DSUM($B$37:$X$61,V$37,$C$68:$D69)</f>
        <v>0</v>
      </c>
      <c r="W69" s="29">
        <f>DSUM($B$37:$X$61,W$37,$C$68:$D69)</f>
        <v>0</v>
      </c>
      <c r="X69" s="29">
        <f>DSUM($B$37:$Y$61,X$37,$C$68:$D69)</f>
        <v>0</v>
      </c>
      <c r="Y69" s="29">
        <f>DSUM($B$37:$Y$61,Y$37,$C$68:$D69)</f>
        <v>0</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B70" s="7" t="s">
        <v>568</v>
      </c>
      <c r="C70" s="51" t="s">
        <v>75</v>
      </c>
      <c r="D70" s="51" t="s">
        <v>76</v>
      </c>
      <c r="E70" s="29">
        <f>DSUM($B$37:$X$61,E$37,$C$68:$D70)</f>
        <v>0</v>
      </c>
      <c r="F70" s="29">
        <f>DSUM($B$37:$X$61,F$37,$C$68:$D70)</f>
        <v>0</v>
      </c>
      <c r="G70" s="29">
        <f>DSUM($B$37:$X$61,G$37,$C$68:$D70)</f>
        <v>0</v>
      </c>
      <c r="H70" s="29">
        <f>DSUM($B$37:$X$61,H$37,$C$68:$D70)</f>
        <v>0</v>
      </c>
      <c r="I70" s="29">
        <f>DSUM($B$37:$X$61,I$37,$C$68:$D70)</f>
        <v>0</v>
      </c>
      <c r="J70" s="29">
        <f>DSUM($B$37:$X$61,J$37,$C$68:$D70)</f>
        <v>0</v>
      </c>
      <c r="K70" s="29">
        <f>DSUM($B$37:$X$61,K$37,$C$68:$D70)</f>
        <v>0</v>
      </c>
      <c r="L70" s="29">
        <f>DSUM($B$37:$X$61,L$37,$C$68:$D70)</f>
        <v>0</v>
      </c>
      <c r="M70" s="29">
        <f>DSUM($B$37:$X$61,M$37,$C$68:$D70)</f>
        <v>0</v>
      </c>
      <c r="N70" s="29">
        <f>DSUM($B$37:$X$61,N$37,$C$68:$D70)</f>
        <v>0</v>
      </c>
      <c r="O70" s="29">
        <f>DSUM($B$37:$X$61,O$37,$C$68:$D70)</f>
        <v>0</v>
      </c>
      <c r="P70" s="29">
        <f>DSUM($B$37:$X$61,P$37,$C$68:$D70)</f>
        <v>0</v>
      </c>
      <c r="Q70" s="29">
        <f>DSUM($B$37:$X$61,Q$37,$C$68:$D70)</f>
        <v>0</v>
      </c>
      <c r="R70" s="29">
        <f>DSUM($B$37:$X$61,R$37,$C$68:$D70)</f>
        <v>0</v>
      </c>
      <c r="S70" s="29">
        <f>DSUM($B$37:$X$61,S$37,$C$68:$D70)</f>
        <v>0</v>
      </c>
      <c r="T70" s="29">
        <f>DSUM($B$37:$X$61,T$37,$C$68:$D70)</f>
        <v>0</v>
      </c>
      <c r="U70" s="29">
        <f>DSUM($B$37:$X$61,U$37,$C$68:$D70)</f>
        <v>0</v>
      </c>
      <c r="V70" s="29">
        <f>DSUM($B$37:$X$61,V$37,$C$68:$D70)</f>
        <v>0</v>
      </c>
      <c r="W70" s="29">
        <f>DSUM($B$37:$X$61,W$37,$C$68:$D70)</f>
        <v>0</v>
      </c>
      <c r="X70" s="29">
        <f>DSUM($B$37:$Y$61,X$37,$C$68:$D70)</f>
        <v>0</v>
      </c>
      <c r="Y70" s="29">
        <f>DSUM($B$37:$Y$61,Y$37,$C$68:$D70)</f>
        <v>0</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B71" s="7" t="s">
        <v>77</v>
      </c>
      <c r="C71" s="51" t="s">
        <v>78</v>
      </c>
      <c r="D71" s="51" t="s">
        <v>79</v>
      </c>
      <c r="E71" s="29">
        <f>DSUM($B$37:$X$61,E$37,$C$68:$D71)</f>
        <v>0</v>
      </c>
      <c r="F71" s="29">
        <f>DSUM($B$37:$X$61,F$37,$C$68:$D71)</f>
        <v>0</v>
      </c>
      <c r="G71" s="29">
        <f>DSUM($B$37:$X$61,G$37,$C$68:$D71)</f>
        <v>0</v>
      </c>
      <c r="H71" s="29">
        <f>DSUM($B$37:$X$61,H$37,$C$68:$D71)</f>
        <v>0</v>
      </c>
      <c r="I71" s="29">
        <f>DSUM($B$37:$X$61,I$37,$C$68:$D71)</f>
        <v>0</v>
      </c>
      <c r="J71" s="29">
        <f>DSUM($B$37:$X$61,J$37,$C$68:$D71)</f>
        <v>0</v>
      </c>
      <c r="K71" s="29">
        <f>DSUM($B$37:$X$61,K$37,$C$68:$D71)</f>
        <v>0</v>
      </c>
      <c r="L71" s="29">
        <f>DSUM($B$37:$X$61,L$37,$C$68:$D71)</f>
        <v>0</v>
      </c>
      <c r="M71" s="29">
        <f>DSUM($B$37:$X$61,M$37,$C$68:$D71)</f>
        <v>0</v>
      </c>
      <c r="N71" s="29">
        <f>DSUM($B$37:$X$61,N$37,$C$68:$D71)</f>
        <v>0</v>
      </c>
      <c r="O71" s="29">
        <f>DSUM($B$37:$X$61,O$37,$C$68:$D71)</f>
        <v>0</v>
      </c>
      <c r="P71" s="29">
        <f>DSUM($B$37:$X$61,P$37,$C$68:$D71)</f>
        <v>0</v>
      </c>
      <c r="Q71" s="29">
        <f>DSUM($B$37:$X$61,Q$37,$C$68:$D71)</f>
        <v>0</v>
      </c>
      <c r="R71" s="29">
        <f>DSUM($B$37:$X$61,R$37,$C$68:$D71)</f>
        <v>0</v>
      </c>
      <c r="S71" s="29">
        <f>DSUM($B$37:$X$61,S$37,$C$68:$D71)</f>
        <v>0</v>
      </c>
      <c r="T71" s="29">
        <f>DSUM($B$37:$X$61,T$37,$C$68:$D71)</f>
        <v>0</v>
      </c>
      <c r="U71" s="29">
        <f>DSUM($B$37:$X$61,U$37,$C$68:$D71)</f>
        <v>0</v>
      </c>
      <c r="V71" s="29">
        <f>DSUM($B$37:$X$61,V$37,$C$68:$D71)</f>
        <v>0</v>
      </c>
      <c r="W71" s="29">
        <f>DSUM($B$37:$X$61,W$37,$C$68:$D71)</f>
        <v>0</v>
      </c>
      <c r="X71" s="29">
        <f>DSUM($B$37:$Y$61,X$37,$C$68:$D71)</f>
        <v>0</v>
      </c>
      <c r="Y71" s="29">
        <f>DSUM($B$37:$Y$61,Y$37,$C$68:$D71)</f>
        <v>0</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B72" s="7" t="s">
        <v>80</v>
      </c>
      <c r="C72" s="51" t="s">
        <v>81</v>
      </c>
      <c r="D72" s="51" t="s">
        <v>82</v>
      </c>
      <c r="E72" s="29">
        <f>DSUM($B$37:$X$61,E$37,$C$68:$D72)</f>
        <v>0</v>
      </c>
      <c r="F72" s="29">
        <f>DSUM($B$37:$X$61,F$37,$C$68:$D72)</f>
        <v>0</v>
      </c>
      <c r="G72" s="29">
        <f>DSUM($B$37:$X$61,G$37,$C$68:$D72)</f>
        <v>0</v>
      </c>
      <c r="H72" s="29">
        <f>DSUM($B$37:$X$61,H$37,$C$68:$D72)</f>
        <v>0</v>
      </c>
      <c r="I72" s="29">
        <f>DSUM($B$37:$X$61,I$37,$C$68:$D72)</f>
        <v>0</v>
      </c>
      <c r="J72" s="29">
        <f>DSUM($B$37:$X$61,J$37,$C$68:$D72)</f>
        <v>0</v>
      </c>
      <c r="K72" s="29">
        <f>DSUM($B$37:$X$61,K$37,$C$68:$D72)</f>
        <v>0</v>
      </c>
      <c r="L72" s="29">
        <f>DSUM($B$37:$X$61,L$37,$C$68:$D72)</f>
        <v>0</v>
      </c>
      <c r="M72" s="29">
        <f>DSUM($B$37:$X$61,M$37,$C$68:$D72)</f>
        <v>0</v>
      </c>
      <c r="N72" s="29">
        <f>DSUM($B$37:$X$61,N$37,$C$68:$D72)</f>
        <v>0</v>
      </c>
      <c r="O72" s="29">
        <f>DSUM($B$37:$X$61,O$37,$C$68:$D72)</f>
        <v>0</v>
      </c>
      <c r="P72" s="29">
        <f>DSUM($B$37:$X$61,P$37,$C$68:$D72)</f>
        <v>0</v>
      </c>
      <c r="Q72" s="29">
        <f>DSUM($B$37:$X$61,Q$37,$C$68:$D72)</f>
        <v>0</v>
      </c>
      <c r="R72" s="29">
        <f>DSUM($B$37:$X$61,R$37,$C$68:$D72)</f>
        <v>0</v>
      </c>
      <c r="S72" s="29">
        <f>DSUM($B$37:$X$61,S$37,$C$68:$D72)</f>
        <v>0</v>
      </c>
      <c r="T72" s="29">
        <f>DSUM($B$37:$X$61,T$37,$C$68:$D72)</f>
        <v>0</v>
      </c>
      <c r="U72" s="29">
        <f>DSUM($B$37:$X$61,U$37,$C$68:$D72)</f>
        <v>0</v>
      </c>
      <c r="V72" s="29">
        <f>DSUM($B$37:$X$61,V$37,$C$68:$D72)</f>
        <v>0</v>
      </c>
      <c r="W72" s="29">
        <f>DSUM($B$37:$X$61,W$37,$C$68:$D72)</f>
        <v>0</v>
      </c>
      <c r="X72" s="29">
        <f>DSUM($B$37:$Y$61,X$37,$C$68:$D72)</f>
        <v>0</v>
      </c>
      <c r="Y72" s="29">
        <f>DSUM($B$37:$Y$61,Y$37,$C$68:$D72)</f>
        <v>0</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c r="B73" s="7" t="s">
        <v>83</v>
      </c>
      <c r="C73" s="51" t="s">
        <v>84</v>
      </c>
      <c r="D73" s="51" t="s">
        <v>85</v>
      </c>
      <c r="E73" s="29">
        <f>DSUM($B$37:$X$61,E$37,$C$68:$D73)</f>
        <v>0</v>
      </c>
      <c r="F73" s="29">
        <f>DSUM($B$37:$X$61,F$37,$C$68:$D73)</f>
        <v>0</v>
      </c>
      <c r="G73" s="29">
        <f>DSUM($B$37:$X$61,G$37,$C$68:$D73)</f>
        <v>0</v>
      </c>
      <c r="H73" s="29">
        <f>DSUM($B$37:$X$61,H$37,$C$68:$D73)</f>
        <v>0</v>
      </c>
      <c r="I73" s="29">
        <f>DSUM($B$37:$X$61,I$37,$C$68:$D73)</f>
        <v>0</v>
      </c>
      <c r="J73" s="29">
        <f>DSUM($B$37:$X$61,J$37,$C$68:$D73)</f>
        <v>0</v>
      </c>
      <c r="K73" s="29">
        <f>DSUM($B$37:$X$61,K$37,$C$68:$D73)</f>
        <v>0</v>
      </c>
      <c r="L73" s="29">
        <f>DSUM($B$37:$X$61,L$37,$C$68:$D73)</f>
        <v>0</v>
      </c>
      <c r="M73" s="29">
        <f>DSUM($B$37:$X$61,M$37,$C$68:$D73)</f>
        <v>0</v>
      </c>
      <c r="N73" s="29">
        <f>DSUM($B$37:$X$61,N$37,$C$68:$D73)</f>
        <v>0</v>
      </c>
      <c r="O73" s="29">
        <f>DSUM($B$37:$X$61,O$37,$C$68:$D73)</f>
        <v>0</v>
      </c>
      <c r="P73" s="29">
        <f>DSUM($B$37:$X$61,P$37,$C$68:$D73)</f>
        <v>0</v>
      </c>
      <c r="Q73" s="29">
        <f>DSUM($B$37:$X$61,Q$37,$C$68:$D73)</f>
        <v>0</v>
      </c>
      <c r="R73" s="29">
        <f>DSUM($B$37:$X$61,R$37,$C$68:$D73)</f>
        <v>0</v>
      </c>
      <c r="S73" s="29">
        <f>DSUM($B$37:$X$61,S$37,$C$68:$D73)</f>
        <v>0</v>
      </c>
      <c r="T73" s="29">
        <f>DSUM($B$37:$X$61,T$37,$C$68:$D73)</f>
        <v>0</v>
      </c>
      <c r="U73" s="29">
        <f>DSUM($B$37:$X$61,U$37,$C$68:$D73)</f>
        <v>0</v>
      </c>
      <c r="V73" s="29">
        <f>DSUM($B$37:$X$61,V$37,$C$68:$D73)</f>
        <v>0</v>
      </c>
      <c r="W73" s="29">
        <f>DSUM($B$37:$X$61,W$37,$C$68:$D73)</f>
        <v>0</v>
      </c>
      <c r="X73" s="29">
        <f>DSUM($B$37:$Y$61,X$37,$C$68:$D73)</f>
        <v>0</v>
      </c>
      <c r="Y73" s="29">
        <f>DSUM($B$37:$Y$61,Y$37,$C$68:$D73)</f>
        <v>0</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c r="B74" s="7" t="s">
        <v>86</v>
      </c>
      <c r="C74" s="51" t="s">
        <v>87</v>
      </c>
      <c r="D74" s="51" t="s">
        <v>88</v>
      </c>
      <c r="E74" s="29">
        <f>DSUM($B$37:$X$61,E$37,$C$68:$D74)</f>
        <v>0</v>
      </c>
      <c r="F74" s="29">
        <f>DSUM($B$37:$X$61,F$37,$C$68:$D74)</f>
        <v>0</v>
      </c>
      <c r="G74" s="29">
        <f>DSUM($B$37:$X$61,G$37,$C$68:$D74)</f>
        <v>0</v>
      </c>
      <c r="H74" s="29">
        <f>DSUM($B$37:$X$61,H$37,$C$68:$D74)</f>
        <v>0</v>
      </c>
      <c r="I74" s="29">
        <f>DSUM($B$37:$X$61,I$37,$C$68:$D74)</f>
        <v>0</v>
      </c>
      <c r="J74" s="29">
        <f>DSUM($B$37:$X$61,J$37,$C$68:$D74)</f>
        <v>0</v>
      </c>
      <c r="K74" s="29">
        <f>DSUM($B$37:$X$61,K$37,$C$68:$D74)</f>
        <v>0</v>
      </c>
      <c r="L74" s="29">
        <f>DSUM($B$37:$X$61,L$37,$C$68:$D74)</f>
        <v>0</v>
      </c>
      <c r="M74" s="29">
        <f>DSUM($B$37:$X$61,M$37,$C$68:$D74)</f>
        <v>0</v>
      </c>
      <c r="N74" s="29">
        <f>DSUM($B$37:$X$61,N$37,$C$68:$D74)</f>
        <v>0</v>
      </c>
      <c r="O74" s="29">
        <f>DSUM($B$37:$X$61,O$37,$C$68:$D74)</f>
        <v>0</v>
      </c>
      <c r="P74" s="29">
        <f>DSUM($B$37:$X$61,P$37,$C$68:$D74)</f>
        <v>0</v>
      </c>
      <c r="Q74" s="29">
        <f>DSUM($B$37:$X$61,Q$37,$C$68:$D74)</f>
        <v>0</v>
      </c>
      <c r="R74" s="29">
        <f>DSUM($B$37:$X$61,R$37,$C$68:$D74)</f>
        <v>0</v>
      </c>
      <c r="S74" s="29">
        <f>DSUM($B$37:$X$61,S$37,$C$68:$D74)</f>
        <v>0</v>
      </c>
      <c r="T74" s="29">
        <f>DSUM($B$37:$X$61,T$37,$C$68:$D74)</f>
        <v>0</v>
      </c>
      <c r="U74" s="29">
        <f>DSUM($B$37:$X$61,U$37,$C$68:$D74)</f>
        <v>0</v>
      </c>
      <c r="V74" s="29">
        <f>DSUM($B$37:$X$61,V$37,$C$68:$D74)</f>
        <v>0</v>
      </c>
      <c r="W74" s="29">
        <f>DSUM($B$37:$X$61,W$37,$C$68:$D74)</f>
        <v>0</v>
      </c>
      <c r="X74" s="29">
        <f>DSUM($B$37:$Y$61,X$37,$C$68:$D74)</f>
        <v>0</v>
      </c>
      <c r="Y74" s="29">
        <f>DSUM($B$37:$Y$61,Y$37,$C$68:$D74)</f>
        <v>0</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B75" s="7" t="s">
        <v>89</v>
      </c>
      <c r="C75" s="51" t="s">
        <v>90</v>
      </c>
      <c r="D75" s="51" t="s">
        <v>91</v>
      </c>
      <c r="E75" s="29">
        <f>DSUM($B$37:$X$61,E$37,$C$68:$D75)</f>
        <v>0</v>
      </c>
      <c r="F75" s="29">
        <f>DSUM($B$37:$X$61,F$37,$C$68:$D75)</f>
        <v>0</v>
      </c>
      <c r="G75" s="29">
        <f>DSUM($B$37:$X$61,G$37,$C$68:$D75)</f>
        <v>0</v>
      </c>
      <c r="H75" s="29">
        <f>DSUM($B$37:$X$61,H$37,$C$68:$D75)</f>
        <v>0</v>
      </c>
      <c r="I75" s="29">
        <f>DSUM($B$37:$X$61,I$37,$C$68:$D75)</f>
        <v>0</v>
      </c>
      <c r="J75" s="29">
        <f>DSUM($B$37:$X$61,J$37,$C$68:$D75)</f>
        <v>0</v>
      </c>
      <c r="K75" s="29">
        <f>DSUM($B$37:$X$61,K$37,$C$68:$D75)</f>
        <v>0</v>
      </c>
      <c r="L75" s="29">
        <f>DSUM($B$37:$X$61,L$37,$C$68:$D75)</f>
        <v>0</v>
      </c>
      <c r="M75" s="29">
        <f>DSUM($B$37:$X$61,M$37,$C$68:$D75)</f>
        <v>0</v>
      </c>
      <c r="N75" s="29">
        <f>DSUM($B$37:$X$61,N$37,$C$68:$D75)</f>
        <v>0</v>
      </c>
      <c r="O75" s="29">
        <f>DSUM($B$37:$X$61,O$37,$C$68:$D75)</f>
        <v>0</v>
      </c>
      <c r="P75" s="29">
        <f>DSUM($B$37:$X$61,P$37,$C$68:$D75)</f>
        <v>0</v>
      </c>
      <c r="Q75" s="29">
        <f>DSUM($B$37:$X$61,Q$37,$C$68:$D75)</f>
        <v>0</v>
      </c>
      <c r="R75" s="29">
        <f>DSUM($B$37:$X$61,R$37,$C$68:$D75)</f>
        <v>0</v>
      </c>
      <c r="S75" s="29">
        <f>DSUM($B$37:$X$61,S$37,$C$68:$D75)</f>
        <v>0</v>
      </c>
      <c r="T75" s="29">
        <f>DSUM($B$37:$X$61,T$37,$C$68:$D75)</f>
        <v>0</v>
      </c>
      <c r="U75" s="29">
        <f>DSUM($B$37:$X$61,U$37,$C$68:$D75)</f>
        <v>0</v>
      </c>
      <c r="V75" s="29">
        <f>DSUM($B$37:$X$61,V$37,$C$68:$D75)</f>
        <v>0</v>
      </c>
      <c r="W75" s="29">
        <f>DSUM($B$37:$X$61,W$37,$C$68:$D75)</f>
        <v>0</v>
      </c>
      <c r="X75" s="29">
        <f>DSUM($B$37:$Y$61,X$37,$C$68:$D75)</f>
        <v>0</v>
      </c>
      <c r="Y75" s="29">
        <f>DSUM($B$37:$Y$61,Y$37,$C$68:$D75)</f>
        <v>0</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c r="B76" s="7" t="s">
        <v>92</v>
      </c>
      <c r="C76" s="51" t="s">
        <v>93</v>
      </c>
      <c r="D76" s="51" t="s">
        <v>94</v>
      </c>
      <c r="E76" s="29">
        <f ca="1">DSUM($B$37:$X$61,E$37,$C$68:$D76)</f>
        <v>1.1044780682384054E-2</v>
      </c>
      <c r="F76" s="29">
        <f ca="1">DSUM($B$37:$X$61,F$37,$C$68:$D76)</f>
        <v>2.7188741698982104E-2</v>
      </c>
      <c r="G76" s="29">
        <f ca="1">DSUM($B$37:$X$61,G$37,$C$68:$D76)</f>
        <v>5.7338279589448829E-2</v>
      </c>
      <c r="H76" s="29">
        <f ca="1">DSUM($B$37:$X$61,H$37,$C$68:$D76)</f>
        <v>0.10897597276419037</v>
      </c>
      <c r="I76" s="29">
        <f ca="1">DSUM($B$37:$X$61,I$37,$C$68:$D76)</f>
        <v>0.18694429609492741</v>
      </c>
      <c r="J76" s="29">
        <f ca="1">DSUM($B$37:$X$61,J$37,$C$68:$D76)</f>
        <v>0.28617717630632067</v>
      </c>
      <c r="K76" s="29">
        <f ca="1">DSUM($B$37:$X$61,K$37,$C$68:$D76)</f>
        <v>0.41199185827335599</v>
      </c>
      <c r="L76" s="29">
        <f ca="1">DSUM($B$37:$X$61,L$37,$C$68:$D76)</f>
        <v>0.5652949989211401</v>
      </c>
      <c r="M76" s="29">
        <f ca="1">DSUM($B$37:$X$61,M$37,$C$68:$D76)</f>
        <v>0.7250692571995585</v>
      </c>
      <c r="N76" s="29">
        <f ca="1">DSUM($B$37:$X$61,N$37,$C$68:$D76)</f>
        <v>0.9061147080120262</v>
      </c>
      <c r="O76" s="29">
        <f ca="1">DSUM($B$37:$X$61,O$37,$C$68:$D76)</f>
        <v>1.0704665880723483</v>
      </c>
      <c r="P76" s="29">
        <f ca="1">DSUM($B$37:$X$61,P$37,$C$68:$D76)</f>
        <v>1.1935926911535075</v>
      </c>
      <c r="Q76" s="29">
        <f ca="1">DSUM($B$37:$X$61,Q$37,$C$68:$D76)</f>
        <v>1.2721178353061608</v>
      </c>
      <c r="R76" s="29">
        <f ca="1">DSUM($B$37:$X$61,R$37,$C$68:$D76)</f>
        <v>1.3587851062855649</v>
      </c>
      <c r="S76" s="29">
        <f ca="1">DSUM($B$37:$X$61,S$37,$C$68:$D76)</f>
        <v>1.4380018126744669</v>
      </c>
      <c r="T76" s="29">
        <f ca="1">DSUM($B$37:$X$61,T$37,$C$68:$D76)</f>
        <v>1.4762955439020988</v>
      </c>
      <c r="U76" s="29">
        <f ca="1">DSUM($B$37:$X$61,U$37,$C$68:$D76)</f>
        <v>1.4568238751188716</v>
      </c>
      <c r="V76" s="29">
        <f ca="1">DSUM($B$37:$X$61,V$37,$C$68:$D76)</f>
        <v>1.4725431382485081</v>
      </c>
      <c r="W76" s="29">
        <f ca="1">DSUM($B$37:$X$61,W$37,$C$68:$D76)</f>
        <v>1.4873147655302563</v>
      </c>
      <c r="X76" s="29">
        <f ca="1">DSUM($B$37:$Y$61,X$37,$C$68:$D76)</f>
        <v>1.5037580106481518</v>
      </c>
      <c r="Y76" s="29">
        <f ca="1">DSUM($B$37:$Y$61,Y$37,$C$68:$D76)</f>
        <v>17.01583943648227</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B77" s="7" t="s">
        <v>95</v>
      </c>
      <c r="C77" s="51" t="s">
        <v>96</v>
      </c>
      <c r="D77" s="51" t="s">
        <v>97</v>
      </c>
      <c r="E77" s="29">
        <f ca="1">DSUM($B$37:$X$61,E$37,$C$68:$D77)</f>
        <v>1.1291680783265921E-2</v>
      </c>
      <c r="F77" s="29">
        <f ca="1">DSUM($B$37:$X$61,F$37,$C$68:$D77)</f>
        <v>2.7827896689121986E-2</v>
      </c>
      <c r="G77" s="29">
        <f ca="1">DSUM($B$37:$X$61,G$37,$C$68:$D77)</f>
        <v>5.8809545073680407E-2</v>
      </c>
      <c r="H77" s="29">
        <f ca="1">DSUM($B$37:$X$61,H$37,$C$68:$D77)</f>
        <v>0.11197015939486495</v>
      </c>
      <c r="I77" s="29">
        <f ca="1">DSUM($B$37:$X$61,I$37,$C$68:$D77)</f>
        <v>0.19206174674679174</v>
      </c>
      <c r="J77" s="29">
        <f ca="1">DSUM($B$37:$X$61,J$37,$C$68:$D77)</f>
        <v>0.29426542293487545</v>
      </c>
      <c r="K77" s="29">
        <f ca="1">DSUM($B$37:$X$61,K$37,$C$68:$D77)</f>
        <v>0.42400357694001395</v>
      </c>
      <c r="L77" s="29">
        <f ca="1">DSUM($B$37:$X$61,L$37,$C$68:$D77)</f>
        <v>0.58194610472378117</v>
      </c>
      <c r="M77" s="29">
        <f ca="1">DSUM($B$37:$X$61,M$37,$C$68:$D77)</f>
        <v>0.74676215675572255</v>
      </c>
      <c r="N77" s="29">
        <f ca="1">DSUM($B$37:$X$61,N$37,$C$68:$D77)</f>
        <v>0.93277483895938229</v>
      </c>
      <c r="O77" s="29">
        <f ca="1">DSUM($B$37:$X$61,O$37,$C$68:$D77)</f>
        <v>1.1015811240473821</v>
      </c>
      <c r="P77" s="29">
        <f ca="1">DSUM($B$37:$X$61,P$37,$C$68:$D77)</f>
        <v>1.2286937812398031</v>
      </c>
      <c r="Q77" s="29">
        <f ca="1">DSUM($B$37:$X$61,Q$37,$C$68:$D77)</f>
        <v>1.3105835094907015</v>
      </c>
      <c r="R77" s="29">
        <f ca="1">DSUM($B$37:$X$61,R$37,$C$68:$D77)</f>
        <v>1.399874386969298</v>
      </c>
      <c r="S77" s="29">
        <f ca="1">DSUM($B$37:$X$61,S$37,$C$68:$D77)</f>
        <v>1.4810083459660357</v>
      </c>
      <c r="T77" s="29">
        <f ca="1">DSUM($B$37:$X$61,T$37,$C$68:$D77)</f>
        <v>1.5206119681759995</v>
      </c>
      <c r="U77" s="29">
        <f ca="1">DSUM($B$37:$X$61,U$37,$C$68:$D77)</f>
        <v>1.501996928717616</v>
      </c>
      <c r="V77" s="29">
        <f ca="1">DSUM($B$37:$X$61,V$37,$C$68:$D77)</f>
        <v>1.5182855353083069</v>
      </c>
      <c r="W77" s="29">
        <f ca="1">DSUM($B$37:$X$61,W$37,$C$68:$D77)</f>
        <v>1.5334146915596545</v>
      </c>
      <c r="X77" s="29">
        <f ca="1">DSUM($B$37:$Y$61,X$37,$C$68:$D77)</f>
        <v>1.5500638553035972</v>
      </c>
      <c r="Y77" s="29">
        <f ca="1">DSUM($B$37:$Y$61,Y$37,$C$68:$D77)</f>
        <v>17.527827255779897</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c r="B78" s="7" t="s">
        <v>98</v>
      </c>
      <c r="C78" s="51" t="s">
        <v>99</v>
      </c>
      <c r="D78" s="51" t="s">
        <v>100</v>
      </c>
      <c r="E78" s="29">
        <f ca="1">DSUM($B$37:$X$61,E$37,$C$68:$D78)</f>
        <v>1.2276444684605774E-2</v>
      </c>
      <c r="F78" s="29">
        <f ca="1">DSUM($B$37:$X$61,F$37,$C$68:$D78)</f>
        <v>3.026891188434943E-2</v>
      </c>
      <c r="G78" s="29">
        <f ca="1">DSUM($B$37:$X$61,G$37,$C$68:$D78)</f>
        <v>6.402362189125213E-2</v>
      </c>
      <c r="H78" s="29">
        <f ca="1">DSUM($B$37:$X$61,H$37,$C$68:$D78)</f>
        <v>0.12198619141589631</v>
      </c>
      <c r="I78" s="29">
        <f ca="1">DSUM($B$37:$X$61,I$37,$C$68:$D78)</f>
        <v>0.20923370048442202</v>
      </c>
      <c r="J78" s="29">
        <f ca="1">DSUM($B$37:$X$61,J$37,$C$68:$D78)</f>
        <v>0.32068907896002619</v>
      </c>
      <c r="K78" s="29">
        <f ca="1">DSUM($B$37:$X$61,K$37,$C$68:$D78)</f>
        <v>0.46224144085731095</v>
      </c>
      <c r="L78" s="29">
        <f ca="1">DSUM($B$37:$X$61,L$37,$C$68:$D78)</f>
        <v>0.634503528303204</v>
      </c>
      <c r="M78" s="29">
        <f ca="1">DSUM($B$37:$X$61,M$37,$C$68:$D78)</f>
        <v>0.81435449000741977</v>
      </c>
      <c r="N78" s="29">
        <f ca="1">DSUM($B$37:$X$61,N$37,$C$68:$D78)</f>
        <v>1.0170033252179553</v>
      </c>
      <c r="O78" s="29">
        <f ca="1">DSUM($B$37:$X$61,O$37,$C$68:$D78)</f>
        <v>1.2008823726307678</v>
      </c>
      <c r="P78" s="29">
        <f ca="1">DSUM($B$37:$X$61,P$37,$C$68:$D78)</f>
        <v>1.3396356555652476</v>
      </c>
      <c r="Q78" s="29">
        <f ca="1">DSUM($B$37:$X$61,Q$37,$C$68:$D78)</f>
        <v>1.4293907030519346</v>
      </c>
      <c r="R78" s="29">
        <f ca="1">DSUM($B$37:$X$61,R$37,$C$68:$D78)</f>
        <v>1.526777329745298</v>
      </c>
      <c r="S78" s="29">
        <f ca="1">DSUM($B$37:$X$61,S$37,$C$68:$D78)</f>
        <v>1.6150529326919323</v>
      </c>
      <c r="T78" s="29">
        <f ca="1">DSUM($B$37:$X$61,T$37,$C$68:$D78)</f>
        <v>1.6583145265078243</v>
      </c>
      <c r="U78" s="29">
        <f ca="1">DSUM($B$37:$X$61,U$37,$C$68:$D78)</f>
        <v>1.6386569660936112</v>
      </c>
      <c r="V78" s="29">
        <f ca="1">DSUM($B$37:$X$61,V$37,$C$68:$D78)</f>
        <v>1.6564641289120892</v>
      </c>
      <c r="W78" s="29">
        <f ca="1">DSUM($B$37:$X$61,W$37,$C$68:$D78)</f>
        <v>1.6729250044379536</v>
      </c>
      <c r="X78" s="29">
        <f ca="1">DSUM($B$37:$Y$61,X$37,$C$68:$D78)</f>
        <v>1.6909534728275109</v>
      </c>
      <c r="Y78" s="29">
        <f ca="1">DSUM($B$37:$Y$61,Y$37,$C$68:$D78)</f>
        <v>19.115633826170615</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c r="B79" s="7" t="s">
        <v>101</v>
      </c>
      <c r="C79" s="51" t="s">
        <v>102</v>
      </c>
      <c r="D79" s="51" t="s">
        <v>103</v>
      </c>
      <c r="E79" s="29">
        <f ca="1">DSUM($B$37:$X$61,E$37,$C$68:$D79)</f>
        <v>1.2576829287828226E-2</v>
      </c>
      <c r="F79" s="29">
        <f ca="1">DSUM($B$37:$X$61,F$37,$C$68:$D79)</f>
        <v>3.1007901940574754E-2</v>
      </c>
      <c r="G79" s="29">
        <f ca="1">DSUM($B$37:$X$61,G$37,$C$68:$D79)</f>
        <v>6.5580261787579655E-2</v>
      </c>
      <c r="H79" s="29">
        <f ca="1">DSUM($B$37:$X$61,H$37,$C$68:$D79)</f>
        <v>0.12494179790515861</v>
      </c>
      <c r="I79" s="29">
        <f ca="1">DSUM($B$37:$X$61,I$37,$C$68:$D79)</f>
        <v>0.21430421435874489</v>
      </c>
      <c r="J79" s="29">
        <f ca="1">DSUM($B$37:$X$61,J$37,$C$68:$D79)</f>
        <v>0.32844735668931713</v>
      </c>
      <c r="K79" s="29">
        <f ca="1">DSUM($B$37:$X$61,K$37,$C$68:$D79)</f>
        <v>0.47340515371476111</v>
      </c>
      <c r="L79" s="29">
        <f ca="1">DSUM($B$37:$X$61,L$37,$C$68:$D79)</f>
        <v>0.64981878707512919</v>
      </c>
      <c r="M79" s="29">
        <f ca="1">DSUM($B$37:$X$61,M$37,$C$68:$D79)</f>
        <v>0.833993497732335</v>
      </c>
      <c r="N79" s="29">
        <f ca="1">DSUM($B$37:$X$61,N$37,$C$68:$D79)</f>
        <v>1.0415526860856392</v>
      </c>
      <c r="O79" s="29">
        <f ca="1">DSUM($B$37:$X$61,O$37,$C$68:$D79)</f>
        <v>1.229890126467531</v>
      </c>
      <c r="P79" s="29">
        <f ca="1">DSUM($B$37:$X$61,P$37,$C$68:$D79)</f>
        <v>1.3719739111471176</v>
      </c>
      <c r="Q79" s="29">
        <f ca="1">DSUM($B$37:$X$61,Q$37,$C$68:$D79)</f>
        <v>1.4638409317297068</v>
      </c>
      <c r="R79" s="29">
        <f ca="1">DSUM($B$37:$X$61,R$37,$C$68:$D79)</f>
        <v>1.5635745509743422</v>
      </c>
      <c r="S79" s="29">
        <f ca="1">DSUM($B$37:$X$61,S$37,$C$68:$D79)</f>
        <v>1.6540024547543537</v>
      </c>
      <c r="T79" s="29">
        <f ca="1">DSUM($B$37:$X$61,T$37,$C$68:$D79)</f>
        <v>1.6982988454148897</v>
      </c>
      <c r="U79" s="29">
        <f ca="1">DSUM($B$37:$X$61,U$37,$C$68:$D79)</f>
        <v>1.6780927090964639</v>
      </c>
      <c r="V79" s="29">
        <f ca="1">DSUM($B$37:$X$61,V$37,$C$68:$D79)</f>
        <v>1.6963241820282935</v>
      </c>
      <c r="W79" s="29">
        <f ca="1">DSUM($B$37:$X$61,W$37,$C$68:$D79)</f>
        <v>1.7131863992362859</v>
      </c>
      <c r="X79" s="29">
        <f ca="1">DSUM($B$37:$Y$61,X$37,$C$68:$D79)</f>
        <v>1.7316644523437645</v>
      </c>
      <c r="Y79" s="29">
        <f ca="1">DSUM($B$37:$Y$61,Y$37,$C$68:$D79)</f>
        <v>19.576477049769821</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1:80">
      <c r="B80" s="7" t="s">
        <v>104</v>
      </c>
      <c r="C80" s="51" t="s">
        <v>105</v>
      </c>
      <c r="D80" s="51" t="s">
        <v>106</v>
      </c>
      <c r="E80" s="29">
        <f ca="1">DSUM($B$37:$X$61,E$37,$C$68:$D80)</f>
        <v>1.2576829287828226E-2</v>
      </c>
      <c r="F80" s="29">
        <f ca="1">DSUM($B$37:$X$61,F$37,$C$68:$D80)</f>
        <v>3.1007901940574754E-2</v>
      </c>
      <c r="G80" s="29">
        <f ca="1">DSUM($B$37:$X$61,G$37,$C$68:$D80)</f>
        <v>6.5580261787579655E-2</v>
      </c>
      <c r="H80" s="29">
        <f ca="1">DSUM($B$37:$X$61,H$37,$C$68:$D80)</f>
        <v>0.12494179790515861</v>
      </c>
      <c r="I80" s="29">
        <f ca="1">DSUM($B$37:$X$61,I$37,$C$68:$D80)</f>
        <v>0.21430421435874489</v>
      </c>
      <c r="J80" s="29">
        <f ca="1">DSUM($B$37:$X$61,J$37,$C$68:$D80)</f>
        <v>0.32844735668931713</v>
      </c>
      <c r="K80" s="29">
        <f ca="1">DSUM($B$37:$X$61,K$37,$C$68:$D80)</f>
        <v>0.47340515371476111</v>
      </c>
      <c r="L80" s="29">
        <f ca="1">DSUM($B$37:$X$61,L$37,$C$68:$D80)</f>
        <v>0.64981878707512919</v>
      </c>
      <c r="M80" s="29">
        <f ca="1">DSUM($B$37:$X$61,M$37,$C$68:$D80)</f>
        <v>0.833993497732335</v>
      </c>
      <c r="N80" s="29">
        <f ca="1">DSUM($B$37:$X$61,N$37,$C$68:$D80)</f>
        <v>1.0415526860856392</v>
      </c>
      <c r="O80" s="29">
        <f ca="1">DSUM($B$37:$X$61,O$37,$C$68:$D80)</f>
        <v>1.229890126467531</v>
      </c>
      <c r="P80" s="29">
        <f ca="1">DSUM($B$37:$X$61,P$37,$C$68:$D80)</f>
        <v>1.3719739111471176</v>
      </c>
      <c r="Q80" s="29">
        <f ca="1">DSUM($B$37:$X$61,Q$37,$C$68:$D80)</f>
        <v>1.4638409317297068</v>
      </c>
      <c r="R80" s="29">
        <f ca="1">DSUM($B$37:$X$61,R$37,$C$68:$D80)</f>
        <v>1.5635745509743422</v>
      </c>
      <c r="S80" s="29">
        <f ca="1">DSUM($B$37:$X$61,S$37,$C$68:$D80)</f>
        <v>1.6540024547543537</v>
      </c>
      <c r="T80" s="29">
        <f ca="1">DSUM($B$37:$X$61,T$37,$C$68:$D80)</f>
        <v>1.6982988454148897</v>
      </c>
      <c r="U80" s="29">
        <f ca="1">DSUM($B$37:$X$61,U$37,$C$68:$D80)</f>
        <v>1.6780927090964639</v>
      </c>
      <c r="V80" s="29">
        <f ca="1">DSUM($B$37:$X$61,V$37,$C$68:$D80)</f>
        <v>1.6963241820282935</v>
      </c>
      <c r="W80" s="29">
        <f ca="1">DSUM($B$37:$X$61,W$37,$C$68:$D80)</f>
        <v>1.7131863992362859</v>
      </c>
      <c r="X80" s="29">
        <f ca="1">DSUM($B$37:$Y$61,X$37,$C$68:$D80)</f>
        <v>1.7316644523437645</v>
      </c>
      <c r="Y80" s="29">
        <f ca="1">DSUM($B$37:$Y$61,Y$37,$C$68:$D80)</f>
        <v>19.576477049769821</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2:80">
      <c r="B81" s="7" t="s">
        <v>107</v>
      </c>
      <c r="C81" s="51" t="s">
        <v>108</v>
      </c>
      <c r="D81" s="51" t="s">
        <v>109</v>
      </c>
      <c r="E81" s="29">
        <f ca="1">DSUM($B$37:$X$61,E$37,$C$68:$D81)</f>
        <v>1.2576829287828226E-2</v>
      </c>
      <c r="F81" s="29">
        <f ca="1">DSUM($B$37:$X$61,F$37,$C$68:$D81)</f>
        <v>3.1007901940574754E-2</v>
      </c>
      <c r="G81" s="29">
        <f ca="1">DSUM($B$37:$X$61,G$37,$C$68:$D81)</f>
        <v>6.5580261787579655E-2</v>
      </c>
      <c r="H81" s="29">
        <f ca="1">DSUM($B$37:$X$61,H$37,$C$68:$D81)</f>
        <v>0.12494179790515861</v>
      </c>
      <c r="I81" s="29">
        <f ca="1">DSUM($B$37:$X$61,I$37,$C$68:$D81)</f>
        <v>0.21430421435874489</v>
      </c>
      <c r="J81" s="29">
        <f ca="1">DSUM($B$37:$X$61,J$37,$C$68:$D81)</f>
        <v>0.32844735668931713</v>
      </c>
      <c r="K81" s="29">
        <f ca="1">DSUM($B$37:$X$61,K$37,$C$68:$D81)</f>
        <v>0.47340515371476111</v>
      </c>
      <c r="L81" s="29">
        <f ca="1">DSUM($B$37:$X$61,L$37,$C$68:$D81)</f>
        <v>0.64981878707512919</v>
      </c>
      <c r="M81" s="29">
        <f ca="1">DSUM($B$37:$X$61,M$37,$C$68:$D81)</f>
        <v>0.833993497732335</v>
      </c>
      <c r="N81" s="29">
        <f ca="1">DSUM($B$37:$X$61,N$37,$C$68:$D81)</f>
        <v>1.0415526860856392</v>
      </c>
      <c r="O81" s="29">
        <f ca="1">DSUM($B$37:$X$61,O$37,$C$68:$D81)</f>
        <v>1.229890126467531</v>
      </c>
      <c r="P81" s="29">
        <f ca="1">DSUM($B$37:$X$61,P$37,$C$68:$D81)</f>
        <v>1.3719739111471176</v>
      </c>
      <c r="Q81" s="29">
        <f ca="1">DSUM($B$37:$X$61,Q$37,$C$68:$D81)</f>
        <v>1.4638409317297068</v>
      </c>
      <c r="R81" s="29">
        <f ca="1">DSUM($B$37:$X$61,R$37,$C$68:$D81)</f>
        <v>1.5635745509743422</v>
      </c>
      <c r="S81" s="29">
        <f ca="1">DSUM($B$37:$X$61,S$37,$C$68:$D81)</f>
        <v>1.6540024547543537</v>
      </c>
      <c r="T81" s="29">
        <f ca="1">DSUM($B$37:$X$61,T$37,$C$68:$D81)</f>
        <v>1.6982988454148897</v>
      </c>
      <c r="U81" s="29">
        <f ca="1">DSUM($B$37:$X$61,U$37,$C$68:$D81)</f>
        <v>1.6780927090964639</v>
      </c>
      <c r="V81" s="29">
        <f ca="1">DSUM($B$37:$X$61,V$37,$C$68:$D81)</f>
        <v>1.6963241820282935</v>
      </c>
      <c r="W81" s="29">
        <f ca="1">DSUM($B$37:$X$61,W$37,$C$68:$D81)</f>
        <v>1.7131863992362859</v>
      </c>
      <c r="X81" s="29">
        <f ca="1">DSUM($B$37:$Y$61,X$37,$C$68:$D81)</f>
        <v>1.7316644523437645</v>
      </c>
      <c r="Y81" s="29">
        <f ca="1">DSUM($B$37:$Y$61,Y$37,$C$68:$D81)</f>
        <v>19.576477049769821</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2:80">
      <c r="B82" s="7" t="s">
        <v>110</v>
      </c>
      <c r="C82" s="51" t="s">
        <v>111</v>
      </c>
      <c r="D82" s="51" t="s">
        <v>112</v>
      </c>
      <c r="E82" s="29">
        <f ca="1">DSUM($B$37:$X$61,E$37,$C$68:$D82)</f>
        <v>1.2576829287828226E-2</v>
      </c>
      <c r="F82" s="29">
        <f ca="1">DSUM($B$37:$X$61,F$37,$C$68:$D82)</f>
        <v>3.1007901940574754E-2</v>
      </c>
      <c r="G82" s="29">
        <f ca="1">DSUM($B$37:$X$61,G$37,$C$68:$D82)</f>
        <v>6.5580261787579655E-2</v>
      </c>
      <c r="H82" s="29">
        <f ca="1">DSUM($B$37:$X$61,H$37,$C$68:$D82)</f>
        <v>0.12494179790515861</v>
      </c>
      <c r="I82" s="29">
        <f ca="1">DSUM($B$37:$X$61,I$37,$C$68:$D82)</f>
        <v>0.21430421435874489</v>
      </c>
      <c r="J82" s="29">
        <f ca="1">DSUM($B$37:$X$61,J$37,$C$68:$D82)</f>
        <v>0.32844735668931713</v>
      </c>
      <c r="K82" s="29">
        <f ca="1">DSUM($B$37:$X$61,K$37,$C$68:$D82)</f>
        <v>0.47340515371476111</v>
      </c>
      <c r="L82" s="29">
        <f ca="1">DSUM($B$37:$X$61,L$37,$C$68:$D82)</f>
        <v>0.64981878707512919</v>
      </c>
      <c r="M82" s="29">
        <f ca="1">DSUM($B$37:$X$61,M$37,$C$68:$D82)</f>
        <v>0.833993497732335</v>
      </c>
      <c r="N82" s="29">
        <f ca="1">DSUM($B$37:$X$61,N$37,$C$68:$D82)</f>
        <v>1.0415526860856392</v>
      </c>
      <c r="O82" s="29">
        <f ca="1">DSUM($B$37:$X$61,O$37,$C$68:$D82)</f>
        <v>1.229890126467531</v>
      </c>
      <c r="P82" s="29">
        <f ca="1">DSUM($B$37:$X$61,P$37,$C$68:$D82)</f>
        <v>1.3719739111471176</v>
      </c>
      <c r="Q82" s="29">
        <f ca="1">DSUM($B$37:$X$61,Q$37,$C$68:$D82)</f>
        <v>1.4638409317297068</v>
      </c>
      <c r="R82" s="29">
        <f ca="1">DSUM($B$37:$X$61,R$37,$C$68:$D82)</f>
        <v>1.5635745509743422</v>
      </c>
      <c r="S82" s="29">
        <f ca="1">DSUM($B$37:$X$61,S$37,$C$68:$D82)</f>
        <v>1.6540024547543537</v>
      </c>
      <c r="T82" s="29">
        <f ca="1">DSUM($B$37:$X$61,T$37,$C$68:$D82)</f>
        <v>1.6982988454148897</v>
      </c>
      <c r="U82" s="29">
        <f ca="1">DSUM($B$37:$X$61,U$37,$C$68:$D82)</f>
        <v>1.6780927090964639</v>
      </c>
      <c r="V82" s="29">
        <f ca="1">DSUM($B$37:$X$61,V$37,$C$68:$D82)</f>
        <v>1.6963241820282935</v>
      </c>
      <c r="W82" s="29">
        <f ca="1">DSUM($B$37:$X$61,W$37,$C$68:$D82)</f>
        <v>1.7131863992362859</v>
      </c>
      <c r="X82" s="29">
        <f ca="1">DSUM($B$37:$Y$61,X$37,$C$68:$D82)</f>
        <v>1.7316644523437645</v>
      </c>
      <c r="Y82" s="29">
        <f ca="1">DSUM($B$37:$Y$61,Y$37,$C$68:$D82)</f>
        <v>19.576477049769821</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2:80">
      <c r="B83" s="7" t="s">
        <v>113</v>
      </c>
      <c r="C83" s="51" t="s">
        <v>114</v>
      </c>
      <c r="D83" s="51" t="s">
        <v>115</v>
      </c>
      <c r="E83" s="29">
        <f ca="1">DSUM($B$37:$X$61,E$37,$C$68:$D83)</f>
        <v>1.2576829287828226E-2</v>
      </c>
      <c r="F83" s="29">
        <f ca="1">DSUM($B$37:$X$61,F$37,$C$68:$D83)</f>
        <v>3.1007901940574754E-2</v>
      </c>
      <c r="G83" s="29">
        <f ca="1">DSUM($B$37:$X$61,G$37,$C$68:$D83)</f>
        <v>6.5580261787579655E-2</v>
      </c>
      <c r="H83" s="29">
        <f ca="1">DSUM($B$37:$X$61,H$37,$C$68:$D83)</f>
        <v>0.12494179790515861</v>
      </c>
      <c r="I83" s="29">
        <f ca="1">DSUM($B$37:$X$61,I$37,$C$68:$D83)</f>
        <v>0.21430421435874489</v>
      </c>
      <c r="J83" s="29">
        <f ca="1">DSUM($B$37:$X$61,J$37,$C$68:$D83)</f>
        <v>0.32844735668931713</v>
      </c>
      <c r="K83" s="29">
        <f ca="1">DSUM($B$37:$X$61,K$37,$C$68:$D83)</f>
        <v>0.47340515371476111</v>
      </c>
      <c r="L83" s="29">
        <f ca="1">DSUM($B$37:$X$61,L$37,$C$68:$D83)</f>
        <v>0.64981878707512919</v>
      </c>
      <c r="M83" s="29">
        <f ca="1">DSUM($B$37:$X$61,M$37,$C$68:$D83)</f>
        <v>0.833993497732335</v>
      </c>
      <c r="N83" s="29">
        <f ca="1">DSUM($B$37:$X$61,N$37,$C$68:$D83)</f>
        <v>1.0415526860856392</v>
      </c>
      <c r="O83" s="29">
        <f ca="1">DSUM($B$37:$X$61,O$37,$C$68:$D83)</f>
        <v>1.229890126467531</v>
      </c>
      <c r="P83" s="29">
        <f ca="1">DSUM($B$37:$X$61,P$37,$C$68:$D83)</f>
        <v>1.3719739111471176</v>
      </c>
      <c r="Q83" s="29">
        <f ca="1">DSUM($B$37:$X$61,Q$37,$C$68:$D83)</f>
        <v>1.4638409317297068</v>
      </c>
      <c r="R83" s="29">
        <f ca="1">DSUM($B$37:$X$61,R$37,$C$68:$D83)</f>
        <v>1.5635745509743422</v>
      </c>
      <c r="S83" s="29">
        <f ca="1">DSUM($B$37:$X$61,S$37,$C$68:$D83)</f>
        <v>1.6540024547543537</v>
      </c>
      <c r="T83" s="29">
        <f ca="1">DSUM($B$37:$X$61,T$37,$C$68:$D83)</f>
        <v>1.6982988454148897</v>
      </c>
      <c r="U83" s="29">
        <f ca="1">DSUM($B$37:$X$61,U$37,$C$68:$D83)</f>
        <v>1.6780927090964639</v>
      </c>
      <c r="V83" s="29">
        <f ca="1">DSUM($B$37:$X$61,V$37,$C$68:$D83)</f>
        <v>1.6963241820282935</v>
      </c>
      <c r="W83" s="29">
        <f ca="1">DSUM($B$37:$X$61,W$37,$C$68:$D83)</f>
        <v>1.7131863992362859</v>
      </c>
      <c r="X83" s="29">
        <f ca="1">DSUM($B$37:$Y$61,X$37,$C$68:$D83)</f>
        <v>1.7316644523437645</v>
      </c>
      <c r="Y83" s="29">
        <f ca="1">DSUM($B$37:$Y$61,Y$37,$C$68:$D83)</f>
        <v>19.576477049769821</v>
      </c>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2:80">
      <c r="B84" s="7" t="s">
        <v>116</v>
      </c>
      <c r="C84" s="51" t="s">
        <v>117</v>
      </c>
      <c r="D84" s="51" t="s">
        <v>118</v>
      </c>
      <c r="E84" s="29">
        <f ca="1">DSUM($B$37:$X$61,E$37,$C$68:$D84)</f>
        <v>1.2576829287828226E-2</v>
      </c>
      <c r="F84" s="29">
        <f ca="1">DSUM($B$37:$X$61,F$37,$C$68:$D84)</f>
        <v>3.1007901940574754E-2</v>
      </c>
      <c r="G84" s="29">
        <f ca="1">DSUM($B$37:$X$61,G$37,$C$68:$D84)</f>
        <v>6.5580261787579655E-2</v>
      </c>
      <c r="H84" s="29">
        <f ca="1">DSUM($B$37:$X$61,H$37,$C$68:$D84)</f>
        <v>0.12494179790515861</v>
      </c>
      <c r="I84" s="29">
        <f ca="1">DSUM($B$37:$X$61,I$37,$C$68:$D84)</f>
        <v>0.21430421435874489</v>
      </c>
      <c r="J84" s="29">
        <f ca="1">DSUM($B$37:$X$61,J$37,$C$68:$D84)</f>
        <v>0.32844735668931713</v>
      </c>
      <c r="K84" s="29">
        <f ca="1">DSUM($B$37:$X$61,K$37,$C$68:$D84)</f>
        <v>0.47340515371476111</v>
      </c>
      <c r="L84" s="29">
        <f ca="1">DSUM($B$37:$X$61,L$37,$C$68:$D84)</f>
        <v>0.64981878707512919</v>
      </c>
      <c r="M84" s="29">
        <f ca="1">DSUM($B$37:$X$61,M$37,$C$68:$D84)</f>
        <v>0.833993497732335</v>
      </c>
      <c r="N84" s="29">
        <f ca="1">DSUM($B$37:$X$61,N$37,$C$68:$D84)</f>
        <v>1.0415526860856392</v>
      </c>
      <c r="O84" s="29">
        <f ca="1">DSUM($B$37:$X$61,O$37,$C$68:$D84)</f>
        <v>1.229890126467531</v>
      </c>
      <c r="P84" s="29">
        <f ca="1">DSUM($B$37:$X$61,P$37,$C$68:$D84)</f>
        <v>1.3719739111471176</v>
      </c>
      <c r="Q84" s="29">
        <f ca="1">DSUM($B$37:$X$61,Q$37,$C$68:$D84)</f>
        <v>1.4638409317297068</v>
      </c>
      <c r="R84" s="29">
        <f ca="1">DSUM($B$37:$X$61,R$37,$C$68:$D84)</f>
        <v>1.5635745509743422</v>
      </c>
      <c r="S84" s="29">
        <f ca="1">DSUM($B$37:$X$61,S$37,$C$68:$D84)</f>
        <v>1.6540024547543537</v>
      </c>
      <c r="T84" s="29">
        <f ca="1">DSUM($B$37:$X$61,T$37,$C$68:$D84)</f>
        <v>1.6982988454148897</v>
      </c>
      <c r="U84" s="29">
        <f ca="1">DSUM($B$37:$X$61,U$37,$C$68:$D84)</f>
        <v>1.6780927090964639</v>
      </c>
      <c r="V84" s="29">
        <f ca="1">DSUM($B$37:$X$61,V$37,$C$68:$D84)</f>
        <v>1.6963241820282935</v>
      </c>
      <c r="W84" s="29">
        <f ca="1">DSUM($B$37:$X$61,W$37,$C$68:$D84)</f>
        <v>1.7131863992362859</v>
      </c>
      <c r="X84" s="29">
        <f ca="1">DSUM($B$37:$Y$61,X$37,$C$68:$D84)</f>
        <v>1.7316644523437645</v>
      </c>
      <c r="Y84" s="29">
        <f ca="1">DSUM($B$37:$Y$61,Y$37,$C$68:$D84)</f>
        <v>19.576477049769821</v>
      </c>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2:80">
      <c r="B85" s="7" t="s">
        <v>119</v>
      </c>
      <c r="C85" s="51" t="s">
        <v>120</v>
      </c>
      <c r="D85" s="51" t="s">
        <v>121</v>
      </c>
      <c r="E85" s="29">
        <f ca="1">DSUM($B$37:$X$61,E$37,$C$68:$D85)</f>
        <v>1.2576829287828226E-2</v>
      </c>
      <c r="F85" s="29">
        <f ca="1">DSUM($B$37:$X$61,F$37,$C$68:$D85)</f>
        <v>3.1007901940574754E-2</v>
      </c>
      <c r="G85" s="29">
        <f ca="1">DSUM($B$37:$X$61,G$37,$C$68:$D85)</f>
        <v>6.5580261787579655E-2</v>
      </c>
      <c r="H85" s="29">
        <f ca="1">DSUM($B$37:$X$61,H$37,$C$68:$D85)</f>
        <v>0.12494179790515861</v>
      </c>
      <c r="I85" s="29">
        <f ca="1">DSUM($B$37:$X$61,I$37,$C$68:$D85)</f>
        <v>0.21430421435874489</v>
      </c>
      <c r="J85" s="29">
        <f ca="1">DSUM($B$37:$X$61,J$37,$C$68:$D85)</f>
        <v>0.32844735668931713</v>
      </c>
      <c r="K85" s="29">
        <f ca="1">DSUM($B$37:$X$61,K$37,$C$68:$D85)</f>
        <v>0.47340515371476111</v>
      </c>
      <c r="L85" s="29">
        <f ca="1">DSUM($B$37:$X$61,L$37,$C$68:$D85)</f>
        <v>0.64981878707512919</v>
      </c>
      <c r="M85" s="29">
        <f ca="1">DSUM($B$37:$X$61,M$37,$C$68:$D85)</f>
        <v>0.833993497732335</v>
      </c>
      <c r="N85" s="29">
        <f ca="1">DSUM($B$37:$X$61,N$37,$C$68:$D85)</f>
        <v>1.0415526860856392</v>
      </c>
      <c r="O85" s="29">
        <f ca="1">DSUM($B$37:$X$61,O$37,$C$68:$D85)</f>
        <v>1.229890126467531</v>
      </c>
      <c r="P85" s="29">
        <f ca="1">DSUM($B$37:$X$61,P$37,$C$68:$D85)</f>
        <v>1.3719739111471176</v>
      </c>
      <c r="Q85" s="29">
        <f ca="1">DSUM($B$37:$X$61,Q$37,$C$68:$D85)</f>
        <v>1.4638409317297068</v>
      </c>
      <c r="R85" s="29">
        <f ca="1">DSUM($B$37:$X$61,R$37,$C$68:$D85)</f>
        <v>1.5635745509743422</v>
      </c>
      <c r="S85" s="29">
        <f ca="1">DSUM($B$37:$X$61,S$37,$C$68:$D85)</f>
        <v>1.6540024547543537</v>
      </c>
      <c r="T85" s="29">
        <f ca="1">DSUM($B$37:$X$61,T$37,$C$68:$D85)</f>
        <v>1.6982988454148897</v>
      </c>
      <c r="U85" s="29">
        <f ca="1">DSUM($B$37:$X$61,U$37,$C$68:$D85)</f>
        <v>1.6780927090964639</v>
      </c>
      <c r="V85" s="29">
        <f ca="1">DSUM($B$37:$X$61,V$37,$C$68:$D85)</f>
        <v>1.6963241820282935</v>
      </c>
      <c r="W85" s="29">
        <f ca="1">DSUM($B$37:$X$61,W$37,$C$68:$D85)</f>
        <v>1.7131863992362859</v>
      </c>
      <c r="X85" s="29">
        <f ca="1">DSUM($B$37:$Y$61,X$37,$C$68:$D85)</f>
        <v>1.7316644523437645</v>
      </c>
      <c r="Y85" s="29">
        <f ca="1">DSUM($B$37:$Y$61,Y$37,$C$68:$D85)</f>
        <v>19.576477049769821</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2:80">
      <c r="B86" s="7" t="s">
        <v>122</v>
      </c>
      <c r="C86" s="51" t="s">
        <v>123</v>
      </c>
      <c r="D86" s="51" t="s">
        <v>124</v>
      </c>
      <c r="E86" s="29">
        <f ca="1">DSUM($B$37:$X$61,E$37,$C$68:$D86)</f>
        <v>1.2576829287828226E-2</v>
      </c>
      <c r="F86" s="29">
        <f ca="1">DSUM($B$37:$X$61,F$37,$C$68:$D86)</f>
        <v>3.1007901940574754E-2</v>
      </c>
      <c r="G86" s="29">
        <f ca="1">DSUM($B$37:$X$61,G$37,$C$68:$D86)</f>
        <v>6.5580261787579655E-2</v>
      </c>
      <c r="H86" s="29">
        <f ca="1">DSUM($B$37:$X$61,H$37,$C$68:$D86)</f>
        <v>0.12494179790515861</v>
      </c>
      <c r="I86" s="29">
        <f ca="1">DSUM($B$37:$X$61,I$37,$C$68:$D86)</f>
        <v>0.21430421435874489</v>
      </c>
      <c r="J86" s="29">
        <f ca="1">DSUM($B$37:$X$61,J$37,$C$68:$D86)</f>
        <v>0.32844735668931713</v>
      </c>
      <c r="K86" s="29">
        <f ca="1">DSUM($B$37:$X$61,K$37,$C$68:$D86)</f>
        <v>0.47340515371476111</v>
      </c>
      <c r="L86" s="29">
        <f ca="1">DSUM($B$37:$X$61,L$37,$C$68:$D86)</f>
        <v>0.64981878707512919</v>
      </c>
      <c r="M86" s="29">
        <f ca="1">DSUM($B$37:$X$61,M$37,$C$68:$D86)</f>
        <v>0.833993497732335</v>
      </c>
      <c r="N86" s="29">
        <f ca="1">DSUM($B$37:$X$61,N$37,$C$68:$D86)</f>
        <v>1.0415526860856392</v>
      </c>
      <c r="O86" s="29">
        <f ca="1">DSUM($B$37:$X$61,O$37,$C$68:$D86)</f>
        <v>1.229890126467531</v>
      </c>
      <c r="P86" s="29">
        <f ca="1">DSUM($B$37:$X$61,P$37,$C$68:$D86)</f>
        <v>1.3719739111471176</v>
      </c>
      <c r="Q86" s="29">
        <f ca="1">DSUM($B$37:$X$61,Q$37,$C$68:$D86)</f>
        <v>1.4638409317297068</v>
      </c>
      <c r="R86" s="29">
        <f ca="1">DSUM($B$37:$X$61,R$37,$C$68:$D86)</f>
        <v>1.5635745509743422</v>
      </c>
      <c r="S86" s="29">
        <f ca="1">DSUM($B$37:$X$61,S$37,$C$68:$D86)</f>
        <v>1.6540024547543537</v>
      </c>
      <c r="T86" s="29">
        <f ca="1">DSUM($B$37:$X$61,T$37,$C$68:$D86)</f>
        <v>1.6982988454148897</v>
      </c>
      <c r="U86" s="29">
        <f ca="1">DSUM($B$37:$X$61,U$37,$C$68:$D86)</f>
        <v>1.6780927090964639</v>
      </c>
      <c r="V86" s="29">
        <f ca="1">DSUM($B$37:$X$61,V$37,$C$68:$D86)</f>
        <v>1.6963241820282935</v>
      </c>
      <c r="W86" s="29">
        <f ca="1">DSUM($B$37:$X$61,W$37,$C$68:$D86)</f>
        <v>1.7131863992362859</v>
      </c>
      <c r="X86" s="29">
        <f ca="1">DSUM($B$37:$Y$61,X$37,$C$68:$D86)</f>
        <v>1.7316644523437645</v>
      </c>
      <c r="Y86" s="29">
        <f ca="1">DSUM($B$37:$Y$61,Y$37,$C$68:$D86)</f>
        <v>19.576477049769821</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2:80">
      <c r="B87" s="7" t="s">
        <v>125</v>
      </c>
      <c r="C87" s="51" t="s">
        <v>126</v>
      </c>
      <c r="D87" s="51" t="s">
        <v>127</v>
      </c>
      <c r="E87" s="29">
        <f ca="1">DSUM($B$37:$X$61,E$37,$C$68:$D87)</f>
        <v>1.2576829287828226E-2</v>
      </c>
      <c r="F87" s="29">
        <f ca="1">DSUM($B$37:$X$61,F$37,$C$68:$D87)</f>
        <v>3.1007901940574754E-2</v>
      </c>
      <c r="G87" s="29">
        <f ca="1">DSUM($B$37:$X$61,G$37,$C$68:$D87)</f>
        <v>6.5580261787579655E-2</v>
      </c>
      <c r="H87" s="29">
        <f ca="1">DSUM($B$37:$X$61,H$37,$C$68:$D87)</f>
        <v>0.12494179790515861</v>
      </c>
      <c r="I87" s="29">
        <f ca="1">DSUM($B$37:$X$61,I$37,$C$68:$D87)</f>
        <v>0.21430421435874489</v>
      </c>
      <c r="J87" s="29">
        <f ca="1">DSUM($B$37:$X$61,J$37,$C$68:$D87)</f>
        <v>0.32844735668931713</v>
      </c>
      <c r="K87" s="29">
        <f ca="1">DSUM($B$37:$X$61,K$37,$C$68:$D87)</f>
        <v>0.47340515371476111</v>
      </c>
      <c r="L87" s="29">
        <f ca="1">DSUM($B$37:$X$61,L$37,$C$68:$D87)</f>
        <v>0.64981878707512919</v>
      </c>
      <c r="M87" s="29">
        <f ca="1">DSUM($B$37:$X$61,M$37,$C$68:$D87)</f>
        <v>0.833993497732335</v>
      </c>
      <c r="N87" s="29">
        <f ca="1">DSUM($B$37:$X$61,N$37,$C$68:$D87)</f>
        <v>1.0415526860856392</v>
      </c>
      <c r="O87" s="29">
        <f ca="1">DSUM($B$37:$X$61,O$37,$C$68:$D87)</f>
        <v>1.229890126467531</v>
      </c>
      <c r="P87" s="29">
        <f ca="1">DSUM($B$37:$X$61,P$37,$C$68:$D87)</f>
        <v>1.3719739111471176</v>
      </c>
      <c r="Q87" s="29">
        <f ca="1">DSUM($B$37:$X$61,Q$37,$C$68:$D87)</f>
        <v>1.4638409317297068</v>
      </c>
      <c r="R87" s="29">
        <f ca="1">DSUM($B$37:$X$61,R$37,$C$68:$D87)</f>
        <v>1.5635745509743422</v>
      </c>
      <c r="S87" s="29">
        <f ca="1">DSUM($B$37:$X$61,S$37,$C$68:$D87)</f>
        <v>1.6540024547543537</v>
      </c>
      <c r="T87" s="29">
        <f ca="1">DSUM($B$37:$X$61,T$37,$C$68:$D87)</f>
        <v>1.6982988454148897</v>
      </c>
      <c r="U87" s="29">
        <f ca="1">DSUM($B$37:$X$61,U$37,$C$68:$D87)</f>
        <v>1.6780927090964639</v>
      </c>
      <c r="V87" s="29">
        <f ca="1">DSUM($B$37:$X$61,V$37,$C$68:$D87)</f>
        <v>1.6963241820282935</v>
      </c>
      <c r="W87" s="29">
        <f ca="1">DSUM($B$37:$X$61,W$37,$C$68:$D87)</f>
        <v>1.7131863992362859</v>
      </c>
      <c r="X87" s="29">
        <f ca="1">DSUM($B$37:$Y$61,X$37,$C$68:$D87)</f>
        <v>1.7316644523437645</v>
      </c>
      <c r="Y87" s="29">
        <f ca="1">DSUM($B$37:$Y$61,Y$37,$C$68:$D87)</f>
        <v>19.576477049769821</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2:80">
      <c r="B88" s="7" t="s">
        <v>128</v>
      </c>
      <c r="C88" s="51" t="s">
        <v>129</v>
      </c>
      <c r="D88" s="51" t="s">
        <v>130</v>
      </c>
      <c r="E88" s="29">
        <f ca="1">DSUM($B$37:$X$61,E$37,$C$68:$D88)</f>
        <v>1.2576829287828226E-2</v>
      </c>
      <c r="F88" s="29">
        <f ca="1">DSUM($B$37:$X$61,F$37,$C$68:$D88)</f>
        <v>3.1007901940574754E-2</v>
      </c>
      <c r="G88" s="29">
        <f ca="1">DSUM($B$37:$X$61,G$37,$C$68:$D88)</f>
        <v>6.5580261787579655E-2</v>
      </c>
      <c r="H88" s="29">
        <f ca="1">DSUM($B$37:$X$61,H$37,$C$68:$D88)</f>
        <v>0.12494179790515861</v>
      </c>
      <c r="I88" s="29">
        <f ca="1">DSUM($B$37:$X$61,I$37,$C$68:$D88)</f>
        <v>0.21430421435874489</v>
      </c>
      <c r="J88" s="29">
        <f ca="1">DSUM($B$37:$X$61,J$37,$C$68:$D88)</f>
        <v>0.32844735668931713</v>
      </c>
      <c r="K88" s="29">
        <f ca="1">DSUM($B$37:$X$61,K$37,$C$68:$D88)</f>
        <v>0.47340515371476111</v>
      </c>
      <c r="L88" s="29">
        <f ca="1">DSUM($B$37:$X$61,L$37,$C$68:$D88)</f>
        <v>0.64981878707512919</v>
      </c>
      <c r="M88" s="29">
        <f ca="1">DSUM($B$37:$X$61,M$37,$C$68:$D88)</f>
        <v>0.833993497732335</v>
      </c>
      <c r="N88" s="29">
        <f ca="1">DSUM($B$37:$X$61,N$37,$C$68:$D88)</f>
        <v>1.0415526860856392</v>
      </c>
      <c r="O88" s="29">
        <f ca="1">DSUM($B$37:$X$61,O$37,$C$68:$D88)</f>
        <v>1.229890126467531</v>
      </c>
      <c r="P88" s="29">
        <f ca="1">DSUM($B$37:$X$61,P$37,$C$68:$D88)</f>
        <v>1.3719739111471176</v>
      </c>
      <c r="Q88" s="29">
        <f ca="1">DSUM($B$37:$X$61,Q$37,$C$68:$D88)</f>
        <v>1.4638409317297068</v>
      </c>
      <c r="R88" s="29">
        <f ca="1">DSUM($B$37:$X$61,R$37,$C$68:$D88)</f>
        <v>1.5635745509743422</v>
      </c>
      <c r="S88" s="29">
        <f ca="1">DSUM($B$37:$X$61,S$37,$C$68:$D88)</f>
        <v>1.6540024547543537</v>
      </c>
      <c r="T88" s="29">
        <f ca="1">DSUM($B$37:$X$61,T$37,$C$68:$D88)</f>
        <v>1.6982988454148897</v>
      </c>
      <c r="U88" s="29">
        <f ca="1">DSUM($B$37:$X$61,U$37,$C$68:$D88)</f>
        <v>1.6780927090964639</v>
      </c>
      <c r="V88" s="29">
        <f ca="1">DSUM($B$37:$X$61,V$37,$C$68:$D88)</f>
        <v>1.6963241820282935</v>
      </c>
      <c r="W88" s="29">
        <f ca="1">DSUM($B$37:$X$61,W$37,$C$68:$D88)</f>
        <v>1.7131863992362859</v>
      </c>
      <c r="X88" s="29">
        <f ca="1">DSUM($B$37:$Y$61,X$37,$C$68:$D88)</f>
        <v>1.7316644523437645</v>
      </c>
      <c r="Y88" s="29">
        <f ca="1">DSUM($B$37:$Y$61,Y$37,$C$68:$D88)</f>
        <v>19.576477049769821</v>
      </c>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2:80">
      <c r="B89" s="7" t="s">
        <v>131</v>
      </c>
      <c r="C89" s="51" t="s">
        <v>132</v>
      </c>
      <c r="D89" s="51" t="s">
        <v>133</v>
      </c>
      <c r="E89" s="29">
        <f ca="1">DSUM($B$37:$X$61,E$37,$C$68:$D89)</f>
        <v>1.2576829287828226E-2</v>
      </c>
      <c r="F89" s="29">
        <f ca="1">DSUM($B$37:$X$61,F$37,$C$68:$D89)</f>
        <v>3.1007901940574754E-2</v>
      </c>
      <c r="G89" s="29">
        <f ca="1">DSUM($B$37:$X$61,G$37,$C$68:$D89)</f>
        <v>6.5580261787579655E-2</v>
      </c>
      <c r="H89" s="29">
        <f ca="1">DSUM($B$37:$X$61,H$37,$C$68:$D89)</f>
        <v>0.12494179790515861</v>
      </c>
      <c r="I89" s="29">
        <f ca="1">DSUM($B$37:$X$61,I$37,$C$68:$D89)</f>
        <v>0.21430421435874489</v>
      </c>
      <c r="J89" s="29">
        <f ca="1">DSUM($B$37:$X$61,J$37,$C$68:$D89)</f>
        <v>0.32844735668931713</v>
      </c>
      <c r="K89" s="29">
        <f ca="1">DSUM($B$37:$X$61,K$37,$C$68:$D89)</f>
        <v>0.47340515371476111</v>
      </c>
      <c r="L89" s="29">
        <f ca="1">DSUM($B$37:$X$61,L$37,$C$68:$D89)</f>
        <v>0.64981878707512919</v>
      </c>
      <c r="M89" s="29">
        <f ca="1">DSUM($B$37:$X$61,M$37,$C$68:$D89)</f>
        <v>0.833993497732335</v>
      </c>
      <c r="N89" s="29">
        <f ca="1">DSUM($B$37:$X$61,N$37,$C$68:$D89)</f>
        <v>1.0415526860856392</v>
      </c>
      <c r="O89" s="29">
        <f ca="1">DSUM($B$37:$X$61,O$37,$C$68:$D89)</f>
        <v>1.229890126467531</v>
      </c>
      <c r="P89" s="29">
        <f ca="1">DSUM($B$37:$X$61,P$37,$C$68:$D89)</f>
        <v>1.3719739111471176</v>
      </c>
      <c r="Q89" s="29">
        <f ca="1">DSUM($B$37:$X$61,Q$37,$C$68:$D89)</f>
        <v>1.4638409317297068</v>
      </c>
      <c r="R89" s="29">
        <f ca="1">DSUM($B$37:$X$61,R$37,$C$68:$D89)</f>
        <v>1.5635745509743422</v>
      </c>
      <c r="S89" s="29">
        <f ca="1">DSUM($B$37:$X$61,S$37,$C$68:$D89)</f>
        <v>1.6540024547543537</v>
      </c>
      <c r="T89" s="29">
        <f ca="1">DSUM($B$37:$X$61,T$37,$C$68:$D89)</f>
        <v>1.6982988454148897</v>
      </c>
      <c r="U89" s="29">
        <f ca="1">DSUM($B$37:$X$61,U$37,$C$68:$D89)</f>
        <v>1.6780927090964639</v>
      </c>
      <c r="V89" s="29">
        <f ca="1">DSUM($B$37:$X$61,V$37,$C$68:$D89)</f>
        <v>1.6963241820282935</v>
      </c>
      <c r="W89" s="29">
        <f ca="1">DSUM($B$37:$X$61,W$37,$C$68:$D89)</f>
        <v>1.7131863992362859</v>
      </c>
      <c r="X89" s="29">
        <f ca="1">DSUM($B$37:$Y$61,X$37,$C$68:$D89)</f>
        <v>1.7316644523437645</v>
      </c>
      <c r="Y89" s="29">
        <f ca="1">DSUM($B$37:$Y$61,Y$37,$C$68:$D89)</f>
        <v>19.576477049769821</v>
      </c>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2:80">
      <c r="B90" s="7" t="s">
        <v>517</v>
      </c>
      <c r="C90" s="51" t="s">
        <v>135</v>
      </c>
      <c r="D90" s="51" t="s">
        <v>507</v>
      </c>
      <c r="E90" s="29">
        <f ca="1">DSUM($B$37:$X$61,E$37,$C$68:$D90)</f>
        <v>1.2576829287828226E-2</v>
      </c>
      <c r="F90" s="29">
        <f ca="1">DSUM($B$37:$X$61,F$37,$C$68:$D90)</f>
        <v>3.1007901940574754E-2</v>
      </c>
      <c r="G90" s="29">
        <f ca="1">DSUM($B$37:$X$61,G$37,$C$68:$D90)</f>
        <v>6.5580261787579655E-2</v>
      </c>
      <c r="H90" s="29">
        <f ca="1">DSUM($B$37:$X$61,H$37,$C$68:$D90)</f>
        <v>0.12494179790515861</v>
      </c>
      <c r="I90" s="29">
        <f ca="1">DSUM($B$37:$X$61,I$37,$C$68:$D90)</f>
        <v>0.21430421435874489</v>
      </c>
      <c r="J90" s="29">
        <f ca="1">DSUM($B$37:$X$61,J$37,$C$68:$D90)</f>
        <v>0.32844735668931713</v>
      </c>
      <c r="K90" s="29">
        <f ca="1">DSUM($B$37:$X$61,K$37,$C$68:$D90)</f>
        <v>0.47340515371476111</v>
      </c>
      <c r="L90" s="29">
        <f ca="1">DSUM($B$37:$X$61,L$37,$C$68:$D90)</f>
        <v>0.64981878707512919</v>
      </c>
      <c r="M90" s="29">
        <f ca="1">DSUM($B$37:$X$61,M$37,$C$68:$D90)</f>
        <v>0.833993497732335</v>
      </c>
      <c r="N90" s="29">
        <f ca="1">DSUM($B$37:$X$61,N$37,$C$68:$D90)</f>
        <v>1.0415526860856392</v>
      </c>
      <c r="O90" s="29">
        <f ca="1">DSUM($B$37:$X$61,O$37,$C$68:$D90)</f>
        <v>1.229890126467531</v>
      </c>
      <c r="P90" s="29">
        <f ca="1">DSUM($B$37:$X$61,P$37,$C$68:$D90)</f>
        <v>1.3719739111471176</v>
      </c>
      <c r="Q90" s="29">
        <f ca="1">DSUM($B$37:$X$61,Q$37,$C$68:$D90)</f>
        <v>1.4638409317297068</v>
      </c>
      <c r="R90" s="29">
        <f ca="1">DSUM($B$37:$X$61,R$37,$C$68:$D90)</f>
        <v>1.5635745509743422</v>
      </c>
      <c r="S90" s="29">
        <f ca="1">DSUM($B$37:$X$61,S$37,$C$68:$D90)</f>
        <v>1.6540024547543537</v>
      </c>
      <c r="T90" s="29">
        <f ca="1">DSUM($B$37:$X$61,T$37,$C$68:$D90)</f>
        <v>1.6982988454148897</v>
      </c>
      <c r="U90" s="29">
        <f ca="1">DSUM($B$37:$X$61,U$37,$C$68:$D90)</f>
        <v>1.6780927090964639</v>
      </c>
      <c r="V90" s="29">
        <f ca="1">DSUM($B$37:$X$61,V$37,$C$68:$D90)</f>
        <v>1.6963241820282935</v>
      </c>
      <c r="W90" s="29">
        <f ca="1">DSUM($B$37:$X$61,W$37,$C$68:$D90)</f>
        <v>1.7131863992362859</v>
      </c>
      <c r="X90" s="29">
        <f ca="1">DSUM($B$37:$Y$61,X$37,$C$68:$D90)</f>
        <v>1.7316644523437645</v>
      </c>
      <c r="Y90" s="29">
        <f ca="1">DSUM($B$37:$Y$61,Y$37,$C$68:$D90)</f>
        <v>19.576477049769821</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2:80">
      <c r="B91" s="7" t="s">
        <v>518</v>
      </c>
      <c r="C91" s="51" t="s">
        <v>497</v>
      </c>
      <c r="D91" s="51" t="s">
        <v>508</v>
      </c>
      <c r="E91" s="29">
        <f ca="1">DSUM($B$37:$X$61,E$37,$C$68:$D91)</f>
        <v>1.2576829287828226E-2</v>
      </c>
      <c r="F91" s="29">
        <f ca="1">DSUM($B$37:$X$61,F$37,$C$68:$D91)</f>
        <v>3.1007901940574754E-2</v>
      </c>
      <c r="G91" s="29">
        <f ca="1">DSUM($B$37:$X$61,G$37,$C$68:$D91)</f>
        <v>6.5580261787579655E-2</v>
      </c>
      <c r="H91" s="29">
        <f ca="1">DSUM($B$37:$X$61,H$37,$C$68:$D91)</f>
        <v>0.12494179790515861</v>
      </c>
      <c r="I91" s="29">
        <f ca="1">DSUM($B$37:$X$61,I$37,$C$68:$D91)</f>
        <v>0.21430421435874489</v>
      </c>
      <c r="J91" s="29">
        <f ca="1">DSUM($B$37:$X$61,J$37,$C$68:$D91)</f>
        <v>0.32844735668931713</v>
      </c>
      <c r="K91" s="29">
        <f ca="1">DSUM($B$37:$X$61,K$37,$C$68:$D91)</f>
        <v>0.47340515371476111</v>
      </c>
      <c r="L91" s="29">
        <f ca="1">DSUM($B$37:$X$61,L$37,$C$68:$D91)</f>
        <v>0.64981878707512919</v>
      </c>
      <c r="M91" s="29">
        <f ca="1">DSUM($B$37:$X$61,M$37,$C$68:$D91)</f>
        <v>0.833993497732335</v>
      </c>
      <c r="N91" s="29">
        <f ca="1">DSUM($B$37:$X$61,N$37,$C$68:$D91)</f>
        <v>1.0415526860856392</v>
      </c>
      <c r="O91" s="29">
        <f ca="1">DSUM($B$37:$X$61,O$37,$C$68:$D91)</f>
        <v>1.229890126467531</v>
      </c>
      <c r="P91" s="29">
        <f ca="1">DSUM($B$37:$X$61,P$37,$C$68:$D91)</f>
        <v>1.3719739111471176</v>
      </c>
      <c r="Q91" s="29">
        <f ca="1">DSUM($B$37:$X$61,Q$37,$C$68:$D91)</f>
        <v>1.4638409317297068</v>
      </c>
      <c r="R91" s="29">
        <f ca="1">DSUM($B$37:$X$61,R$37,$C$68:$D91)</f>
        <v>1.5635745509743422</v>
      </c>
      <c r="S91" s="29">
        <f ca="1">DSUM($B$37:$X$61,S$37,$C$68:$D91)</f>
        <v>1.6540024547543537</v>
      </c>
      <c r="T91" s="29">
        <f ca="1">DSUM($B$37:$X$61,T$37,$C$68:$D91)</f>
        <v>1.6982988454148897</v>
      </c>
      <c r="U91" s="29">
        <f ca="1">DSUM($B$37:$X$61,U$37,$C$68:$D91)</f>
        <v>1.6780927090964639</v>
      </c>
      <c r="V91" s="29">
        <f ca="1">DSUM($B$37:$X$61,V$37,$C$68:$D91)</f>
        <v>1.6963241820282935</v>
      </c>
      <c r="W91" s="29">
        <f ca="1">DSUM($B$37:$X$61,W$37,$C$68:$D91)</f>
        <v>1.7131863992362859</v>
      </c>
      <c r="X91" s="29">
        <f ca="1">DSUM($B$37:$Y$61,X$37,$C$68:$D91)</f>
        <v>1.7316644523437645</v>
      </c>
      <c r="Y91" s="29">
        <f ca="1">DSUM($B$37:$Y$61,Y$37,$C$68:$D91)</f>
        <v>19.576477049769821</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2:80">
      <c r="B92" s="7" t="s">
        <v>519</v>
      </c>
      <c r="C92" s="51" t="s">
        <v>498</v>
      </c>
      <c r="D92" s="51" t="s">
        <v>509</v>
      </c>
      <c r="E92" s="29">
        <f ca="1">DSUM($B$37:$X$61,E$37,$C$68:$D92)</f>
        <v>1.2576829287828226E-2</v>
      </c>
      <c r="F92" s="29">
        <f ca="1">DSUM($B$37:$X$61,F$37,$C$68:$D92)</f>
        <v>3.1007901940574754E-2</v>
      </c>
      <c r="G92" s="29">
        <f ca="1">DSUM($B$37:$X$61,G$37,$C$68:$D92)</f>
        <v>6.5580261787579655E-2</v>
      </c>
      <c r="H92" s="29">
        <f ca="1">DSUM($B$37:$X$61,H$37,$C$68:$D92)</f>
        <v>0.12494179790515861</v>
      </c>
      <c r="I92" s="29">
        <f ca="1">DSUM($B$37:$X$61,I$37,$C$68:$D92)</f>
        <v>0.21430421435874489</v>
      </c>
      <c r="J92" s="29">
        <f ca="1">DSUM($B$37:$X$61,J$37,$C$68:$D92)</f>
        <v>0.32844735668931713</v>
      </c>
      <c r="K92" s="29">
        <f ca="1">DSUM($B$37:$X$61,K$37,$C$68:$D92)</f>
        <v>0.47340515371476111</v>
      </c>
      <c r="L92" s="29">
        <f ca="1">DSUM($B$37:$X$61,L$37,$C$68:$D92)</f>
        <v>0.64981878707512919</v>
      </c>
      <c r="M92" s="29">
        <f ca="1">DSUM($B$37:$X$61,M$37,$C$68:$D92)</f>
        <v>0.833993497732335</v>
      </c>
      <c r="N92" s="29">
        <f ca="1">DSUM($B$37:$X$61,N$37,$C$68:$D92)</f>
        <v>1.0415526860856392</v>
      </c>
      <c r="O92" s="29">
        <f ca="1">DSUM($B$37:$X$61,O$37,$C$68:$D92)</f>
        <v>1.229890126467531</v>
      </c>
      <c r="P92" s="29">
        <f ca="1">DSUM($B$37:$X$61,P$37,$C$68:$D92)</f>
        <v>1.3719739111471176</v>
      </c>
      <c r="Q92" s="29">
        <f ca="1">DSUM($B$37:$X$61,Q$37,$C$68:$D92)</f>
        <v>1.4638409317297068</v>
      </c>
      <c r="R92" s="29">
        <f ca="1">DSUM($B$37:$X$61,R$37,$C$68:$D92)</f>
        <v>1.5635745509743422</v>
      </c>
      <c r="S92" s="29">
        <f ca="1">DSUM($B$37:$X$61,S$37,$C$68:$D92)</f>
        <v>1.6540024547543537</v>
      </c>
      <c r="T92" s="29">
        <f ca="1">DSUM($B$37:$X$61,T$37,$C$68:$D92)</f>
        <v>1.6982988454148897</v>
      </c>
      <c r="U92" s="29">
        <f ca="1">DSUM($B$37:$X$61,U$37,$C$68:$D92)</f>
        <v>1.6780927090964639</v>
      </c>
      <c r="V92" s="29">
        <f ca="1">DSUM($B$37:$X$61,V$37,$C$68:$D92)</f>
        <v>1.6963241820282935</v>
      </c>
      <c r="W92" s="29">
        <f ca="1">DSUM($B$37:$X$61,W$37,$C$68:$D92)</f>
        <v>1.7131863992362859</v>
      </c>
      <c r="X92" s="29">
        <f ca="1">DSUM($B$37:$Y$61,X$37,$C$68:$D92)</f>
        <v>1.7316644523437645</v>
      </c>
      <c r="Y92" s="29">
        <f ca="1">DSUM($B$37:$Y$61,Y$37,$C$68:$D92)</f>
        <v>19.576477049769821</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2:80">
      <c r="B93" s="7" t="s">
        <v>520</v>
      </c>
      <c r="C93" s="51" t="s">
        <v>499</v>
      </c>
      <c r="D93" s="51" t="s">
        <v>510</v>
      </c>
      <c r="E93" s="29">
        <f ca="1">DSUM($B$37:$X$61,E$37,$C$68:$D93)</f>
        <v>1.2576829287828226E-2</v>
      </c>
      <c r="F93" s="29">
        <f ca="1">DSUM($B$37:$X$61,F$37,$C$68:$D93)</f>
        <v>3.1007901940574754E-2</v>
      </c>
      <c r="G93" s="29">
        <f ca="1">DSUM($B$37:$X$61,G$37,$C$68:$D93)</f>
        <v>6.5580261787579655E-2</v>
      </c>
      <c r="H93" s="29">
        <f ca="1">DSUM($B$37:$X$61,H$37,$C$68:$D93)</f>
        <v>0.12494179790515861</v>
      </c>
      <c r="I93" s="29">
        <f ca="1">DSUM($B$37:$X$61,I$37,$C$68:$D93)</f>
        <v>0.21430421435874489</v>
      </c>
      <c r="J93" s="29">
        <f ca="1">DSUM($B$37:$X$61,J$37,$C$68:$D93)</f>
        <v>0.32844735668931713</v>
      </c>
      <c r="K93" s="29">
        <f ca="1">DSUM($B$37:$X$61,K$37,$C$68:$D93)</f>
        <v>0.47340515371476111</v>
      </c>
      <c r="L93" s="29">
        <f ca="1">DSUM($B$37:$X$61,L$37,$C$68:$D93)</f>
        <v>0.64981878707512919</v>
      </c>
      <c r="M93" s="29">
        <f ca="1">DSUM($B$37:$X$61,M$37,$C$68:$D93)</f>
        <v>0.833993497732335</v>
      </c>
      <c r="N93" s="29">
        <f ca="1">DSUM($B$37:$X$61,N$37,$C$68:$D93)</f>
        <v>1.0415526860856392</v>
      </c>
      <c r="O93" s="29">
        <f ca="1">DSUM($B$37:$X$61,O$37,$C$68:$D93)</f>
        <v>1.229890126467531</v>
      </c>
      <c r="P93" s="29">
        <f ca="1">DSUM($B$37:$X$61,P$37,$C$68:$D93)</f>
        <v>1.3719739111471176</v>
      </c>
      <c r="Q93" s="29">
        <f ca="1">DSUM($B$37:$X$61,Q$37,$C$68:$D93)</f>
        <v>1.4638409317297068</v>
      </c>
      <c r="R93" s="29">
        <f ca="1">DSUM($B$37:$X$61,R$37,$C$68:$D93)</f>
        <v>1.5635745509743422</v>
      </c>
      <c r="S93" s="29">
        <f ca="1">DSUM($B$37:$X$61,S$37,$C$68:$D93)</f>
        <v>1.6540024547543537</v>
      </c>
      <c r="T93" s="29">
        <f ca="1">DSUM($B$37:$X$61,T$37,$C$68:$D93)</f>
        <v>1.6982988454148897</v>
      </c>
      <c r="U93" s="29">
        <f ca="1">DSUM($B$37:$X$61,U$37,$C$68:$D93)</f>
        <v>1.6780927090964639</v>
      </c>
      <c r="V93" s="29">
        <f ca="1">DSUM($B$37:$X$61,V$37,$C$68:$D93)</f>
        <v>1.6963241820282935</v>
      </c>
      <c r="W93" s="29">
        <f ca="1">DSUM($B$37:$X$61,W$37,$C$68:$D93)</f>
        <v>1.7131863992362859</v>
      </c>
      <c r="X93" s="29">
        <f ca="1">DSUM($B$37:$Y$61,X$37,$C$68:$D93)</f>
        <v>1.7316644523437645</v>
      </c>
      <c r="Y93" s="29">
        <f ca="1">DSUM($B$37:$Y$61,Y$37,$C$68:$D93)</f>
        <v>19.576477049769821</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2:80">
      <c r="B94" s="7" t="s">
        <v>521</v>
      </c>
      <c r="C94" s="51" t="s">
        <v>500</v>
      </c>
      <c r="D94" s="51" t="s">
        <v>511</v>
      </c>
      <c r="E94" s="29">
        <f ca="1">DSUM($B$37:$X$61,E$37,$C$68:$D94)</f>
        <v>1.2576829287828226E-2</v>
      </c>
      <c r="F94" s="29">
        <f ca="1">DSUM($B$37:$X$61,F$37,$C$68:$D94)</f>
        <v>3.1007901940574754E-2</v>
      </c>
      <c r="G94" s="29">
        <f ca="1">DSUM($B$37:$X$61,G$37,$C$68:$D94)</f>
        <v>6.5580261787579655E-2</v>
      </c>
      <c r="H94" s="29">
        <f ca="1">DSUM($B$37:$X$61,H$37,$C$68:$D94)</f>
        <v>0.12494179790515861</v>
      </c>
      <c r="I94" s="29">
        <f ca="1">DSUM($B$37:$X$61,I$37,$C$68:$D94)</f>
        <v>0.21430421435874489</v>
      </c>
      <c r="J94" s="29">
        <f ca="1">DSUM($B$37:$X$61,J$37,$C$68:$D94)</f>
        <v>0.32844735668931713</v>
      </c>
      <c r="K94" s="29">
        <f ca="1">DSUM($B$37:$X$61,K$37,$C$68:$D94)</f>
        <v>0.47340515371476111</v>
      </c>
      <c r="L94" s="29">
        <f ca="1">DSUM($B$37:$X$61,L$37,$C$68:$D94)</f>
        <v>0.64981878707512919</v>
      </c>
      <c r="M94" s="29">
        <f ca="1">DSUM($B$37:$X$61,M$37,$C$68:$D94)</f>
        <v>0.833993497732335</v>
      </c>
      <c r="N94" s="29">
        <f ca="1">DSUM($B$37:$X$61,N$37,$C$68:$D94)</f>
        <v>1.0415526860856392</v>
      </c>
      <c r="O94" s="29">
        <f ca="1">DSUM($B$37:$X$61,O$37,$C$68:$D94)</f>
        <v>1.229890126467531</v>
      </c>
      <c r="P94" s="29">
        <f ca="1">DSUM($B$37:$X$61,P$37,$C$68:$D94)</f>
        <v>1.3719739111471176</v>
      </c>
      <c r="Q94" s="29">
        <f ca="1">DSUM($B$37:$X$61,Q$37,$C$68:$D94)</f>
        <v>1.4638409317297068</v>
      </c>
      <c r="R94" s="29">
        <f ca="1">DSUM($B$37:$X$61,R$37,$C$68:$D94)</f>
        <v>1.5635745509743422</v>
      </c>
      <c r="S94" s="29">
        <f ca="1">DSUM($B$37:$X$61,S$37,$C$68:$D94)</f>
        <v>1.6540024547543537</v>
      </c>
      <c r="T94" s="29">
        <f ca="1">DSUM($B$37:$X$61,T$37,$C$68:$D94)</f>
        <v>1.6982988454148897</v>
      </c>
      <c r="U94" s="29">
        <f ca="1">DSUM($B$37:$X$61,U$37,$C$68:$D94)</f>
        <v>1.6780927090964639</v>
      </c>
      <c r="V94" s="29">
        <f ca="1">DSUM($B$37:$X$61,V$37,$C$68:$D94)</f>
        <v>1.6963241820282935</v>
      </c>
      <c r="W94" s="29">
        <f ca="1">DSUM($B$37:$X$61,W$37,$C$68:$D94)</f>
        <v>1.7131863992362859</v>
      </c>
      <c r="X94" s="29">
        <f ca="1">DSUM($B$37:$Y$61,X$37,$C$68:$D94)</f>
        <v>1.7316644523437645</v>
      </c>
      <c r="Y94" s="29">
        <f ca="1">DSUM($B$37:$Y$61,Y$37,$C$68:$D94)</f>
        <v>19.576477049769821</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2:80">
      <c r="B95" s="7" t="s">
        <v>522</v>
      </c>
      <c r="C95" s="51" t="s">
        <v>501</v>
      </c>
      <c r="D95" s="51" t="s">
        <v>512</v>
      </c>
      <c r="E95" s="29">
        <f ca="1">DSUM($B$37:$X$61,E$37,$C$68:$D95)</f>
        <v>1.2576829287828226E-2</v>
      </c>
      <c r="F95" s="29">
        <f ca="1">DSUM($B$37:$X$61,F$37,$C$68:$D95)</f>
        <v>3.1007901940574754E-2</v>
      </c>
      <c r="G95" s="29">
        <f ca="1">DSUM($B$37:$X$61,G$37,$C$68:$D95)</f>
        <v>6.5580261787579655E-2</v>
      </c>
      <c r="H95" s="29">
        <f ca="1">DSUM($B$37:$X$61,H$37,$C$68:$D95)</f>
        <v>0.12494179790515861</v>
      </c>
      <c r="I95" s="29">
        <f ca="1">DSUM($B$37:$X$61,I$37,$C$68:$D95)</f>
        <v>0.21430421435874489</v>
      </c>
      <c r="J95" s="29">
        <f ca="1">DSUM($B$37:$X$61,J$37,$C$68:$D95)</f>
        <v>0.32844735668931713</v>
      </c>
      <c r="K95" s="29">
        <f ca="1">DSUM($B$37:$X$61,K$37,$C$68:$D95)</f>
        <v>0.47340515371476111</v>
      </c>
      <c r="L95" s="29">
        <f ca="1">DSUM($B$37:$X$61,L$37,$C$68:$D95)</f>
        <v>0.64981878707512919</v>
      </c>
      <c r="M95" s="29">
        <f ca="1">DSUM($B$37:$X$61,M$37,$C$68:$D95)</f>
        <v>0.833993497732335</v>
      </c>
      <c r="N95" s="29">
        <f ca="1">DSUM($B$37:$X$61,N$37,$C$68:$D95)</f>
        <v>1.0415526860856392</v>
      </c>
      <c r="O95" s="29">
        <f ca="1">DSUM($B$37:$X$61,O$37,$C$68:$D95)</f>
        <v>1.229890126467531</v>
      </c>
      <c r="P95" s="29">
        <f ca="1">DSUM($B$37:$X$61,P$37,$C$68:$D95)</f>
        <v>1.3719739111471176</v>
      </c>
      <c r="Q95" s="29">
        <f ca="1">DSUM($B$37:$X$61,Q$37,$C$68:$D95)</f>
        <v>1.4638409317297068</v>
      </c>
      <c r="R95" s="29">
        <f ca="1">DSUM($B$37:$X$61,R$37,$C$68:$D95)</f>
        <v>1.5635745509743422</v>
      </c>
      <c r="S95" s="29">
        <f ca="1">DSUM($B$37:$X$61,S$37,$C$68:$D95)</f>
        <v>1.6540024547543537</v>
      </c>
      <c r="T95" s="29">
        <f ca="1">DSUM($B$37:$X$61,T$37,$C$68:$D95)</f>
        <v>1.6982988454148897</v>
      </c>
      <c r="U95" s="29">
        <f ca="1">DSUM($B$37:$X$61,U$37,$C$68:$D95)</f>
        <v>1.6780927090964639</v>
      </c>
      <c r="V95" s="29">
        <f ca="1">DSUM($B$37:$X$61,V$37,$C$68:$D95)</f>
        <v>1.6963241820282935</v>
      </c>
      <c r="W95" s="29">
        <f ca="1">DSUM($B$37:$X$61,W$37,$C$68:$D95)</f>
        <v>1.7131863992362859</v>
      </c>
      <c r="X95" s="29">
        <f ca="1">DSUM($B$37:$Y$61,X$37,$C$68:$D95)</f>
        <v>1.7316644523437645</v>
      </c>
      <c r="Y95" s="29">
        <f ca="1">DSUM($B$37:$Y$61,Y$37,$C$68:$D95)</f>
        <v>19.576477049769821</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2:80">
      <c r="B96" s="7" t="s">
        <v>523</v>
      </c>
      <c r="C96" s="51" t="s">
        <v>502</v>
      </c>
      <c r="D96" s="51" t="s">
        <v>513</v>
      </c>
      <c r="E96" s="29">
        <f ca="1">DSUM($B$37:$X$61,E$37,$C$68:$D96)</f>
        <v>1.2576829287828226E-2</v>
      </c>
      <c r="F96" s="29">
        <f ca="1">DSUM($B$37:$X$61,F$37,$C$68:$D96)</f>
        <v>3.1007901940574754E-2</v>
      </c>
      <c r="G96" s="29">
        <f ca="1">DSUM($B$37:$X$61,G$37,$C$68:$D96)</f>
        <v>6.5580261787579655E-2</v>
      </c>
      <c r="H96" s="29">
        <f ca="1">DSUM($B$37:$X$61,H$37,$C$68:$D96)</f>
        <v>0.12494179790515861</v>
      </c>
      <c r="I96" s="29">
        <f ca="1">DSUM($B$37:$X$61,I$37,$C$68:$D96)</f>
        <v>0.21430421435874489</v>
      </c>
      <c r="J96" s="29">
        <f ca="1">DSUM($B$37:$X$61,J$37,$C$68:$D96)</f>
        <v>0.32844735668931713</v>
      </c>
      <c r="K96" s="29">
        <f ca="1">DSUM($B$37:$X$61,K$37,$C$68:$D96)</f>
        <v>0.47340515371476111</v>
      </c>
      <c r="L96" s="29">
        <f ca="1">DSUM($B$37:$X$61,L$37,$C$68:$D96)</f>
        <v>0.64981878707512919</v>
      </c>
      <c r="M96" s="29">
        <f ca="1">DSUM($B$37:$X$61,M$37,$C$68:$D96)</f>
        <v>0.833993497732335</v>
      </c>
      <c r="N96" s="29">
        <f ca="1">DSUM($B$37:$X$61,N$37,$C$68:$D96)</f>
        <v>1.0415526860856392</v>
      </c>
      <c r="O96" s="29">
        <f ca="1">DSUM($B$37:$X$61,O$37,$C$68:$D96)</f>
        <v>1.229890126467531</v>
      </c>
      <c r="P96" s="29">
        <f ca="1">DSUM($B$37:$X$61,P$37,$C$68:$D96)</f>
        <v>1.3719739111471176</v>
      </c>
      <c r="Q96" s="29">
        <f ca="1">DSUM($B$37:$X$61,Q$37,$C$68:$D96)</f>
        <v>1.4638409317297068</v>
      </c>
      <c r="R96" s="29">
        <f ca="1">DSUM($B$37:$X$61,R$37,$C$68:$D96)</f>
        <v>1.5635745509743422</v>
      </c>
      <c r="S96" s="29">
        <f ca="1">DSUM($B$37:$X$61,S$37,$C$68:$D96)</f>
        <v>1.6540024547543537</v>
      </c>
      <c r="T96" s="29">
        <f ca="1">DSUM($B$37:$X$61,T$37,$C$68:$D96)</f>
        <v>1.6982988454148897</v>
      </c>
      <c r="U96" s="29">
        <f ca="1">DSUM($B$37:$X$61,U$37,$C$68:$D96)</f>
        <v>1.6780927090964639</v>
      </c>
      <c r="V96" s="29">
        <f ca="1">DSUM($B$37:$X$61,V$37,$C$68:$D96)</f>
        <v>1.6963241820282935</v>
      </c>
      <c r="W96" s="29">
        <f ca="1">DSUM($B$37:$X$61,W$37,$C$68:$D96)</f>
        <v>1.7131863992362859</v>
      </c>
      <c r="X96" s="29">
        <f ca="1">DSUM($B$37:$Y$61,X$37,$C$68:$D96)</f>
        <v>1.7316644523437645</v>
      </c>
      <c r="Y96" s="29">
        <f ca="1">DSUM($B$37:$Y$61,Y$37,$C$68:$D96)</f>
        <v>19.576477049769821</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c r="B97" s="7" t="s">
        <v>524</v>
      </c>
      <c r="C97" s="51" t="s">
        <v>503</v>
      </c>
      <c r="D97" s="51" t="s">
        <v>514</v>
      </c>
      <c r="E97" s="29">
        <f ca="1">DSUM($B$37:$X$61,E$37,$C$68:$D97)</f>
        <v>1.2576829287828226E-2</v>
      </c>
      <c r="F97" s="29">
        <f ca="1">DSUM($B$37:$X$61,F$37,$C$68:$D97)</f>
        <v>3.1007901940574754E-2</v>
      </c>
      <c r="G97" s="29">
        <f ca="1">DSUM($B$37:$X$61,G$37,$C$68:$D97)</f>
        <v>6.5580261787579655E-2</v>
      </c>
      <c r="H97" s="29">
        <f ca="1">DSUM($B$37:$X$61,H$37,$C$68:$D97)</f>
        <v>0.12494179790515861</v>
      </c>
      <c r="I97" s="29">
        <f ca="1">DSUM($B$37:$X$61,I$37,$C$68:$D97)</f>
        <v>0.21430421435874489</v>
      </c>
      <c r="J97" s="29">
        <f ca="1">DSUM($B$37:$X$61,J$37,$C$68:$D97)</f>
        <v>0.32844735668931713</v>
      </c>
      <c r="K97" s="29">
        <f ca="1">DSUM($B$37:$X$61,K$37,$C$68:$D97)</f>
        <v>0.47340515371476111</v>
      </c>
      <c r="L97" s="29">
        <f ca="1">DSUM($B$37:$X$61,L$37,$C$68:$D97)</f>
        <v>0.64981878707512919</v>
      </c>
      <c r="M97" s="29">
        <f ca="1">DSUM($B$37:$X$61,M$37,$C$68:$D97)</f>
        <v>0.833993497732335</v>
      </c>
      <c r="N97" s="29">
        <f ca="1">DSUM($B$37:$X$61,N$37,$C$68:$D97)</f>
        <v>1.0415526860856392</v>
      </c>
      <c r="O97" s="29">
        <f ca="1">DSUM($B$37:$X$61,O$37,$C$68:$D97)</f>
        <v>1.229890126467531</v>
      </c>
      <c r="P97" s="29">
        <f ca="1">DSUM($B$37:$X$61,P$37,$C$68:$D97)</f>
        <v>1.3719739111471176</v>
      </c>
      <c r="Q97" s="29">
        <f ca="1">DSUM($B$37:$X$61,Q$37,$C$68:$D97)</f>
        <v>1.4638409317297068</v>
      </c>
      <c r="R97" s="29">
        <f ca="1">DSUM($B$37:$X$61,R$37,$C$68:$D97)</f>
        <v>1.5635745509743422</v>
      </c>
      <c r="S97" s="29">
        <f ca="1">DSUM($B$37:$X$61,S$37,$C$68:$D97)</f>
        <v>1.6540024547543537</v>
      </c>
      <c r="T97" s="29">
        <f ca="1">DSUM($B$37:$X$61,T$37,$C$68:$D97)</f>
        <v>1.6982988454148897</v>
      </c>
      <c r="U97" s="29">
        <f ca="1">DSUM($B$37:$X$61,U$37,$C$68:$D97)</f>
        <v>1.6780927090964639</v>
      </c>
      <c r="V97" s="29">
        <f ca="1">DSUM($B$37:$X$61,V$37,$C$68:$D97)</f>
        <v>1.6963241820282935</v>
      </c>
      <c r="W97" s="29">
        <f ca="1">DSUM($B$37:$X$61,W$37,$C$68:$D97)</f>
        <v>1.7131863992362859</v>
      </c>
      <c r="X97" s="29">
        <f ca="1">DSUM($B$37:$Y$61,X$37,$C$68:$D97)</f>
        <v>1.7316644523437645</v>
      </c>
      <c r="Y97" s="29">
        <f ca="1">DSUM($B$37:$Y$61,Y$37,$C$68:$D97)</f>
        <v>19.576477049769821</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c r="B98" s="7" t="s">
        <v>525</v>
      </c>
      <c r="C98" s="51" t="s">
        <v>504</v>
      </c>
      <c r="D98" s="51" t="s">
        <v>515</v>
      </c>
      <c r="E98" s="29">
        <f ca="1">DSUM($B$37:$X$61,E$37,$C$68:$D98)</f>
        <v>1.2576829287828226E-2</v>
      </c>
      <c r="F98" s="29">
        <f ca="1">DSUM($B$37:$X$61,F$37,$C$68:$D98)</f>
        <v>3.1007901940574754E-2</v>
      </c>
      <c r="G98" s="29">
        <f ca="1">DSUM($B$37:$X$61,G$37,$C$68:$D98)</f>
        <v>6.5580261787579655E-2</v>
      </c>
      <c r="H98" s="29">
        <f ca="1">DSUM($B$37:$X$61,H$37,$C$68:$D98)</f>
        <v>0.12494179790515861</v>
      </c>
      <c r="I98" s="29">
        <f ca="1">DSUM($B$37:$X$61,I$37,$C$68:$D98)</f>
        <v>0.21430421435874489</v>
      </c>
      <c r="J98" s="29">
        <f ca="1">DSUM($B$37:$X$61,J$37,$C$68:$D98)</f>
        <v>0.32844735668931713</v>
      </c>
      <c r="K98" s="29">
        <f ca="1">DSUM($B$37:$X$61,K$37,$C$68:$D98)</f>
        <v>0.47340515371476111</v>
      </c>
      <c r="L98" s="29">
        <f ca="1">DSUM($B$37:$X$61,L$37,$C$68:$D98)</f>
        <v>0.64981878707512919</v>
      </c>
      <c r="M98" s="29">
        <f ca="1">DSUM($B$37:$X$61,M$37,$C$68:$D98)</f>
        <v>0.833993497732335</v>
      </c>
      <c r="N98" s="29">
        <f ca="1">DSUM($B$37:$X$61,N$37,$C$68:$D98)</f>
        <v>1.0415526860856392</v>
      </c>
      <c r="O98" s="29">
        <f ca="1">DSUM($B$37:$X$61,O$37,$C$68:$D98)</f>
        <v>1.229890126467531</v>
      </c>
      <c r="P98" s="29">
        <f ca="1">DSUM($B$37:$X$61,P$37,$C$68:$D98)</f>
        <v>1.3719739111471176</v>
      </c>
      <c r="Q98" s="29">
        <f ca="1">DSUM($B$37:$X$61,Q$37,$C$68:$D98)</f>
        <v>1.4638409317297068</v>
      </c>
      <c r="R98" s="29">
        <f ca="1">DSUM($B$37:$X$61,R$37,$C$68:$D98)</f>
        <v>1.5635745509743422</v>
      </c>
      <c r="S98" s="29">
        <f ca="1">DSUM($B$37:$X$61,S$37,$C$68:$D98)</f>
        <v>1.6540024547543537</v>
      </c>
      <c r="T98" s="29">
        <f ca="1">DSUM($B$37:$X$61,T$37,$C$68:$D98)</f>
        <v>1.6982988454148897</v>
      </c>
      <c r="U98" s="29">
        <f ca="1">DSUM($B$37:$X$61,U$37,$C$68:$D98)</f>
        <v>1.6780927090964639</v>
      </c>
      <c r="V98" s="29">
        <f ca="1">DSUM($B$37:$X$61,V$37,$C$68:$D98)</f>
        <v>1.6963241820282935</v>
      </c>
      <c r="W98" s="29">
        <f ca="1">DSUM($B$37:$X$61,W$37,$C$68:$D98)</f>
        <v>1.7131863992362859</v>
      </c>
      <c r="X98" s="29">
        <f ca="1">DSUM($B$37:$Y$61,X$37,$C$68:$D98)</f>
        <v>1.7316644523437645</v>
      </c>
      <c r="Y98" s="29">
        <f ca="1">DSUM($B$37:$Y$61,Y$37,$C$68:$D98)</f>
        <v>19.576477049769821</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c r="B99" s="7" t="s">
        <v>526</v>
      </c>
      <c r="C99" s="51" t="s">
        <v>505</v>
      </c>
      <c r="D99" s="51" t="s">
        <v>516</v>
      </c>
      <c r="E99" s="29">
        <f ca="1">DSUM($B$37:$X$61,E$37,$C$68:$D99)</f>
        <v>1.2576829287828226E-2</v>
      </c>
      <c r="F99" s="29">
        <f ca="1">DSUM($B$37:$X$61,F$37,$C$68:$D99)</f>
        <v>3.1007901940574754E-2</v>
      </c>
      <c r="G99" s="29">
        <f ca="1">DSUM($B$37:$X$61,G$37,$C$68:$D99)</f>
        <v>6.5580261787579655E-2</v>
      </c>
      <c r="H99" s="29">
        <f ca="1">DSUM($B$37:$X$61,H$37,$C$68:$D99)</f>
        <v>0.12494179790515861</v>
      </c>
      <c r="I99" s="29">
        <f ca="1">DSUM($B$37:$X$61,I$37,$C$68:$D99)</f>
        <v>0.21430421435874489</v>
      </c>
      <c r="J99" s="29">
        <f ca="1">DSUM($B$37:$X$61,J$37,$C$68:$D99)</f>
        <v>0.32844735668931713</v>
      </c>
      <c r="K99" s="29">
        <f ca="1">DSUM($B$37:$X$61,K$37,$C$68:$D99)</f>
        <v>0.47340515371476111</v>
      </c>
      <c r="L99" s="29">
        <f ca="1">DSUM($B$37:$X$61,L$37,$C$68:$D99)</f>
        <v>0.64981878707512919</v>
      </c>
      <c r="M99" s="29">
        <f ca="1">DSUM($B$37:$X$61,M$37,$C$68:$D99)</f>
        <v>0.833993497732335</v>
      </c>
      <c r="N99" s="29">
        <f ca="1">DSUM($B$37:$X$61,N$37,$C$68:$D99)</f>
        <v>1.0415526860856392</v>
      </c>
      <c r="O99" s="29">
        <f ca="1">DSUM($B$37:$X$61,O$37,$C$68:$D99)</f>
        <v>1.229890126467531</v>
      </c>
      <c r="P99" s="29">
        <f ca="1">DSUM($B$37:$X$61,P$37,$C$68:$D99)</f>
        <v>1.3719739111471176</v>
      </c>
      <c r="Q99" s="29">
        <f ca="1">DSUM($B$37:$X$61,Q$37,$C$68:$D99)</f>
        <v>1.4638409317297068</v>
      </c>
      <c r="R99" s="29">
        <f ca="1">DSUM($B$37:$X$61,R$37,$C$68:$D99)</f>
        <v>1.5635745509743422</v>
      </c>
      <c r="S99" s="29">
        <f ca="1">DSUM($B$37:$X$61,S$37,$C$68:$D99)</f>
        <v>1.6540024547543537</v>
      </c>
      <c r="T99" s="29">
        <f ca="1">DSUM($B$37:$X$61,T$37,$C$68:$D99)</f>
        <v>1.6982988454148897</v>
      </c>
      <c r="U99" s="29">
        <f ca="1">DSUM($B$37:$X$61,U$37,$C$68:$D99)</f>
        <v>1.6780927090964639</v>
      </c>
      <c r="V99" s="29">
        <f ca="1">DSUM($B$37:$X$61,V$37,$C$68:$D99)</f>
        <v>1.6963241820282935</v>
      </c>
      <c r="W99" s="29">
        <f ca="1">DSUM($B$37:$X$61,W$37,$C$68:$D99)</f>
        <v>1.7131863992362859</v>
      </c>
      <c r="X99" s="29">
        <f ca="1">DSUM($B$37:$Y$61,X$37,$C$68:$D99)</f>
        <v>1.7316644523437645</v>
      </c>
      <c r="Y99" s="29">
        <f ca="1">DSUM($B$37:$Y$61,Y$37,$C$68:$D99)</f>
        <v>19.576477049769821</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1:80">
      <c r="B100" s="7" t="s">
        <v>527</v>
      </c>
      <c r="C100" s="51" t="s">
        <v>506</v>
      </c>
      <c r="D100" s="51" t="s">
        <v>136</v>
      </c>
      <c r="E100" s="29">
        <f ca="1">DSUM($B$37:$X$61,E$37,$C$68:$D100)</f>
        <v>1.4251069757997992E-2</v>
      </c>
      <c r="F100" s="29">
        <f ca="1">DSUM($B$37:$X$61,F$37,$C$68:$D100)</f>
        <v>3.5139757382008321E-2</v>
      </c>
      <c r="G100" s="29">
        <f ca="1">DSUM($B$37:$X$61,G$37,$C$68:$D100)</f>
        <v>7.4334852188838382E-2</v>
      </c>
      <c r="H100" s="29">
        <f ca="1">DSUM($B$37:$X$61,H$37,$C$68:$D100)</f>
        <v>0.14164626922899012</v>
      </c>
      <c r="I100" s="29">
        <f ca="1">DSUM($B$37:$X$61,I$37,$C$68:$D100)</f>
        <v>0.24295383067041365</v>
      </c>
      <c r="J100" s="29">
        <f ca="1">DSUM($B$37:$X$61,J$37,$C$68:$D100)</f>
        <v>0.37238902902953092</v>
      </c>
      <c r="K100" s="29">
        <f ca="1">DSUM($B$37:$X$61,K$37,$C$68:$D100)</f>
        <v>0.53678726367139717</v>
      </c>
      <c r="L100" s="29">
        <f ca="1">DSUM($B$37:$X$61,L$37,$C$68:$D100)</f>
        <v>0.73684186952892405</v>
      </c>
      <c r="M100" s="29">
        <f ca="1">DSUM($B$37:$X$61,M$37,$C$68:$D100)</f>
        <v>0.94572400969507975</v>
      </c>
      <c r="N100" s="29">
        <f ca="1">DSUM($B$37:$X$61,N$37,$C$68:$D100)</f>
        <v>1.1810325387189176</v>
      </c>
      <c r="O100" s="29">
        <f ca="1">DSUM($B$37:$X$61,O$37,$C$68:$D100)</f>
        <v>1.3945424616358875</v>
      </c>
      <c r="P100" s="29">
        <f ca="1">DSUM($B$37:$X$61,P$37,$C$68:$D100)</f>
        <v>1.5557000046069021</v>
      </c>
      <c r="Q100" s="29">
        <f ca="1">DSUM($B$37:$X$61,Q$37,$C$68:$D100)</f>
        <v>1.6600043242015732</v>
      </c>
      <c r="R100" s="29">
        <f ca="1">DSUM($B$37:$X$61,R$37,$C$68:$D100)</f>
        <v>1.7731032256976853</v>
      </c>
      <c r="S100" s="29">
        <f ca="1">DSUM($B$37:$X$61,S$37,$C$68:$D100)</f>
        <v>1.8755878970401161</v>
      </c>
      <c r="T100" s="29">
        <f ca="1">DSUM($B$37:$X$61,T$37,$C$68:$D100)</f>
        <v>1.9258396952169707</v>
      </c>
      <c r="U100" s="29">
        <f ca="1">DSUM($B$37:$X$61,U$37,$C$68:$D100)</f>
        <v>1.9031105782901163</v>
      </c>
      <c r="V100" s="29">
        <f ca="1">DSUM($B$37:$X$61,V$37,$C$68:$D100)</f>
        <v>1.9237971968982202</v>
      </c>
      <c r="W100" s="29">
        <f ca="1">DSUM($B$37:$X$61,W$37,$C$68:$D100)</f>
        <v>1.9429076585095504</v>
      </c>
      <c r="X100" s="29">
        <f ca="1">DSUM($B$37:$Y$61,X$37,$C$68:$D100)</f>
        <v>1.963824646634013</v>
      </c>
      <c r="Y100" s="29">
        <f ca="1">DSUM($B$37:$Y$61,Y$37,$C$68:$D100)</f>
        <v>22.199518178603135</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1:80">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1:80">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1:80" ht="15">
      <c r="A103" s="56" t="s">
        <v>137</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1:80" ht="15">
      <c r="C104" s="65" t="s">
        <v>142</v>
      </c>
      <c r="D104" s="65"/>
      <c r="E104" s="59">
        <f t="shared" ref="E104:X104" si="23">E11</f>
        <v>2016</v>
      </c>
      <c r="F104" s="60">
        <f t="shared" si="23"/>
        <v>2017</v>
      </c>
      <c r="G104" s="60">
        <f t="shared" si="23"/>
        <v>2018</v>
      </c>
      <c r="H104" s="60">
        <f t="shared" si="23"/>
        <v>2019</v>
      </c>
      <c r="I104" s="60">
        <f t="shared" si="23"/>
        <v>2020</v>
      </c>
      <c r="J104" s="60">
        <f t="shared" si="23"/>
        <v>2021</v>
      </c>
      <c r="K104" s="60">
        <f t="shared" si="23"/>
        <v>2022</v>
      </c>
      <c r="L104" s="60">
        <f t="shared" si="23"/>
        <v>2023</v>
      </c>
      <c r="M104" s="60">
        <f t="shared" si="23"/>
        <v>2024</v>
      </c>
      <c r="N104" s="60">
        <f t="shared" si="23"/>
        <v>2025</v>
      </c>
      <c r="O104" s="60">
        <f t="shared" si="23"/>
        <v>2026</v>
      </c>
      <c r="P104" s="60">
        <f t="shared" si="23"/>
        <v>2027</v>
      </c>
      <c r="Q104" s="60">
        <f t="shared" si="23"/>
        <v>2028</v>
      </c>
      <c r="R104" s="60">
        <f t="shared" si="23"/>
        <v>2029</v>
      </c>
      <c r="S104" s="60">
        <f t="shared" si="23"/>
        <v>2030</v>
      </c>
      <c r="T104" s="60">
        <f t="shared" si="23"/>
        <v>2031</v>
      </c>
      <c r="U104" s="60">
        <f t="shared" si="23"/>
        <v>2032</v>
      </c>
      <c r="V104" s="60">
        <f t="shared" si="23"/>
        <v>2033</v>
      </c>
      <c r="W104" s="60">
        <f t="shared" si="23"/>
        <v>2034</v>
      </c>
      <c r="X104" s="60">
        <f t="shared" si="23"/>
        <v>2035</v>
      </c>
      <c r="Y104" s="61" t="s">
        <v>63</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1:80" ht="15">
      <c r="C105" s="65" t="str">
        <f>C8</f>
        <v>HPWH</v>
      </c>
      <c r="D105" s="65"/>
      <c r="E105" s="62" t="str">
        <f>CONCATENATE("aMW_",E$11)</f>
        <v>aMW_2016</v>
      </c>
      <c r="F105" s="63" t="str">
        <f t="shared" ref="F105:X105" si="24">CONCATENATE("aMW_",F$11)</f>
        <v>aMW_2017</v>
      </c>
      <c r="G105" s="63" t="str">
        <f t="shared" si="24"/>
        <v>aMW_2018</v>
      </c>
      <c r="H105" s="63" t="str">
        <f t="shared" si="24"/>
        <v>aMW_2019</v>
      </c>
      <c r="I105" s="63" t="str">
        <f t="shared" si="24"/>
        <v>aMW_2020</v>
      </c>
      <c r="J105" s="63" t="str">
        <f t="shared" si="24"/>
        <v>aMW_2021</v>
      </c>
      <c r="K105" s="63" t="str">
        <f t="shared" si="24"/>
        <v>aMW_2022</v>
      </c>
      <c r="L105" s="63" t="str">
        <f t="shared" si="24"/>
        <v>aMW_2023</v>
      </c>
      <c r="M105" s="63" t="str">
        <f t="shared" si="24"/>
        <v>aMW_2024</v>
      </c>
      <c r="N105" s="63" t="str">
        <f t="shared" si="24"/>
        <v>aMW_2025</v>
      </c>
      <c r="O105" s="63" t="str">
        <f t="shared" si="24"/>
        <v>aMW_2026</v>
      </c>
      <c r="P105" s="63" t="str">
        <f t="shared" si="24"/>
        <v>aMW_2027</v>
      </c>
      <c r="Q105" s="63" t="str">
        <f t="shared" si="24"/>
        <v>aMW_2028</v>
      </c>
      <c r="R105" s="63" t="str">
        <f t="shared" si="24"/>
        <v>aMW_2029</v>
      </c>
      <c r="S105" s="63" t="str">
        <f t="shared" si="24"/>
        <v>aMW_2030</v>
      </c>
      <c r="T105" s="63" t="str">
        <f t="shared" si="24"/>
        <v>aMW_2031</v>
      </c>
      <c r="U105" s="63" t="str">
        <f t="shared" si="24"/>
        <v>aMW_2032</v>
      </c>
      <c r="V105" s="63" t="str">
        <f t="shared" si="24"/>
        <v>aMW_2033</v>
      </c>
      <c r="W105" s="63" t="str">
        <f t="shared" si="24"/>
        <v>aMW_2034</v>
      </c>
      <c r="X105" s="63" t="str">
        <f t="shared" si="24"/>
        <v>aMW_2035</v>
      </c>
      <c r="Y105" s="64" t="s">
        <v>63</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1:80">
      <c r="C106" s="7" t="s">
        <v>71</v>
      </c>
      <c r="E106" s="29">
        <f t="shared" ref="E106:X106" si="25">E69</f>
        <v>0</v>
      </c>
      <c r="F106" s="29">
        <f t="shared" si="25"/>
        <v>0</v>
      </c>
      <c r="G106" s="29">
        <f t="shared" si="25"/>
        <v>0</v>
      </c>
      <c r="H106" s="29">
        <f t="shared" si="25"/>
        <v>0</v>
      </c>
      <c r="I106" s="29">
        <f t="shared" si="25"/>
        <v>0</v>
      </c>
      <c r="J106" s="29">
        <f t="shared" si="25"/>
        <v>0</v>
      </c>
      <c r="K106" s="29">
        <f t="shared" si="25"/>
        <v>0</v>
      </c>
      <c r="L106" s="29">
        <f t="shared" si="25"/>
        <v>0</v>
      </c>
      <c r="M106" s="29">
        <f t="shared" si="25"/>
        <v>0</v>
      </c>
      <c r="N106" s="29">
        <f t="shared" si="25"/>
        <v>0</v>
      </c>
      <c r="O106" s="29">
        <f t="shared" si="25"/>
        <v>0</v>
      </c>
      <c r="P106" s="29">
        <f t="shared" si="25"/>
        <v>0</v>
      </c>
      <c r="Q106" s="29">
        <f t="shared" si="25"/>
        <v>0</v>
      </c>
      <c r="R106" s="29">
        <f t="shared" si="25"/>
        <v>0</v>
      </c>
      <c r="S106" s="29">
        <f t="shared" si="25"/>
        <v>0</v>
      </c>
      <c r="T106" s="29">
        <f t="shared" si="25"/>
        <v>0</v>
      </c>
      <c r="U106" s="29">
        <f t="shared" si="25"/>
        <v>0</v>
      </c>
      <c r="V106" s="29">
        <f t="shared" si="25"/>
        <v>0</v>
      </c>
      <c r="W106" s="29">
        <f t="shared" si="25"/>
        <v>0</v>
      </c>
      <c r="X106" s="29">
        <f t="shared" si="25"/>
        <v>0</v>
      </c>
      <c r="Y106" s="29">
        <f>SUM(E106:X106)</f>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c r="C107" s="7" t="s">
        <v>568</v>
      </c>
      <c r="E107" s="29">
        <f t="shared" ref="E107:X119" si="26">E70-E69</f>
        <v>0</v>
      </c>
      <c r="F107" s="29">
        <f t="shared" si="26"/>
        <v>0</v>
      </c>
      <c r="G107" s="29">
        <f t="shared" si="26"/>
        <v>0</v>
      </c>
      <c r="H107" s="29">
        <f t="shared" si="26"/>
        <v>0</v>
      </c>
      <c r="I107" s="29">
        <f t="shared" si="26"/>
        <v>0</v>
      </c>
      <c r="J107" s="29">
        <f t="shared" si="26"/>
        <v>0</v>
      </c>
      <c r="K107" s="29">
        <f t="shared" si="26"/>
        <v>0</v>
      </c>
      <c r="L107" s="29">
        <f t="shared" si="26"/>
        <v>0</v>
      </c>
      <c r="M107" s="29">
        <f t="shared" si="26"/>
        <v>0</v>
      </c>
      <c r="N107" s="29">
        <f t="shared" si="26"/>
        <v>0</v>
      </c>
      <c r="O107" s="29">
        <f t="shared" si="26"/>
        <v>0</v>
      </c>
      <c r="P107" s="29">
        <f t="shared" si="26"/>
        <v>0</v>
      </c>
      <c r="Q107" s="29">
        <f t="shared" si="26"/>
        <v>0</v>
      </c>
      <c r="R107" s="29">
        <f t="shared" si="26"/>
        <v>0</v>
      </c>
      <c r="S107" s="29">
        <f t="shared" si="26"/>
        <v>0</v>
      </c>
      <c r="T107" s="29">
        <f t="shared" si="26"/>
        <v>0</v>
      </c>
      <c r="U107" s="29">
        <f t="shared" si="26"/>
        <v>0</v>
      </c>
      <c r="V107" s="29">
        <f t="shared" si="26"/>
        <v>0</v>
      </c>
      <c r="W107" s="29">
        <f t="shared" si="26"/>
        <v>0</v>
      </c>
      <c r="X107" s="29">
        <f t="shared" si="26"/>
        <v>0</v>
      </c>
      <c r="Y107" s="29">
        <f t="shared" ref="Y107:Y136" si="27">SUM(E107:X107)</f>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1:80">
      <c r="C108" s="7" t="s">
        <v>77</v>
      </c>
      <c r="E108" s="29">
        <f t="shared" si="26"/>
        <v>0</v>
      </c>
      <c r="F108" s="29">
        <f t="shared" si="26"/>
        <v>0</v>
      </c>
      <c r="G108" s="29">
        <f t="shared" si="26"/>
        <v>0</v>
      </c>
      <c r="H108" s="29">
        <f t="shared" si="26"/>
        <v>0</v>
      </c>
      <c r="I108" s="29">
        <f t="shared" si="26"/>
        <v>0</v>
      </c>
      <c r="J108" s="29">
        <f t="shared" si="26"/>
        <v>0</v>
      </c>
      <c r="K108" s="29">
        <f t="shared" si="26"/>
        <v>0</v>
      </c>
      <c r="L108" s="29">
        <f t="shared" si="26"/>
        <v>0</v>
      </c>
      <c r="M108" s="29">
        <f t="shared" si="26"/>
        <v>0</v>
      </c>
      <c r="N108" s="29">
        <f t="shared" si="26"/>
        <v>0</v>
      </c>
      <c r="O108" s="29">
        <f t="shared" si="26"/>
        <v>0</v>
      </c>
      <c r="P108" s="29">
        <f t="shared" si="26"/>
        <v>0</v>
      </c>
      <c r="Q108" s="29">
        <f t="shared" si="26"/>
        <v>0</v>
      </c>
      <c r="R108" s="29">
        <f t="shared" si="26"/>
        <v>0</v>
      </c>
      <c r="S108" s="29">
        <f t="shared" si="26"/>
        <v>0</v>
      </c>
      <c r="T108" s="29">
        <f t="shared" si="26"/>
        <v>0</v>
      </c>
      <c r="U108" s="29">
        <f t="shared" si="26"/>
        <v>0</v>
      </c>
      <c r="V108" s="29">
        <f t="shared" si="26"/>
        <v>0</v>
      </c>
      <c r="W108" s="29">
        <f t="shared" si="26"/>
        <v>0</v>
      </c>
      <c r="X108" s="29">
        <f t="shared" si="26"/>
        <v>0</v>
      </c>
      <c r="Y108" s="29">
        <f t="shared" si="27"/>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c r="C109" s="7" t="s">
        <v>80</v>
      </c>
      <c r="E109" s="29">
        <f t="shared" si="26"/>
        <v>0</v>
      </c>
      <c r="F109" s="29">
        <f t="shared" si="26"/>
        <v>0</v>
      </c>
      <c r="G109" s="29">
        <f t="shared" si="26"/>
        <v>0</v>
      </c>
      <c r="H109" s="29">
        <f t="shared" si="26"/>
        <v>0</v>
      </c>
      <c r="I109" s="29">
        <f t="shared" si="26"/>
        <v>0</v>
      </c>
      <c r="J109" s="29">
        <f t="shared" si="26"/>
        <v>0</v>
      </c>
      <c r="K109" s="29">
        <f t="shared" si="26"/>
        <v>0</v>
      </c>
      <c r="L109" s="29">
        <f t="shared" si="26"/>
        <v>0</v>
      </c>
      <c r="M109" s="29">
        <f t="shared" si="26"/>
        <v>0</v>
      </c>
      <c r="N109" s="29">
        <f t="shared" si="26"/>
        <v>0</v>
      </c>
      <c r="O109" s="29">
        <f t="shared" si="26"/>
        <v>0</v>
      </c>
      <c r="P109" s="29">
        <f t="shared" si="26"/>
        <v>0</v>
      </c>
      <c r="Q109" s="29">
        <f t="shared" si="26"/>
        <v>0</v>
      </c>
      <c r="R109" s="29">
        <f t="shared" si="26"/>
        <v>0</v>
      </c>
      <c r="S109" s="29">
        <f t="shared" si="26"/>
        <v>0</v>
      </c>
      <c r="T109" s="29">
        <f t="shared" si="26"/>
        <v>0</v>
      </c>
      <c r="U109" s="29">
        <f t="shared" si="26"/>
        <v>0</v>
      </c>
      <c r="V109" s="29">
        <f t="shared" si="26"/>
        <v>0</v>
      </c>
      <c r="W109" s="29">
        <f t="shared" si="26"/>
        <v>0</v>
      </c>
      <c r="X109" s="29">
        <f t="shared" si="26"/>
        <v>0</v>
      </c>
      <c r="Y109" s="29">
        <f t="shared" si="27"/>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1:80">
      <c r="C110" s="7" t="s">
        <v>83</v>
      </c>
      <c r="E110" s="29">
        <f t="shared" si="26"/>
        <v>0</v>
      </c>
      <c r="F110" s="29">
        <f t="shared" si="26"/>
        <v>0</v>
      </c>
      <c r="G110" s="29">
        <f t="shared" si="26"/>
        <v>0</v>
      </c>
      <c r="H110" s="29">
        <f t="shared" si="26"/>
        <v>0</v>
      </c>
      <c r="I110" s="29">
        <f t="shared" si="26"/>
        <v>0</v>
      </c>
      <c r="J110" s="29">
        <f t="shared" si="26"/>
        <v>0</v>
      </c>
      <c r="K110" s="29">
        <f t="shared" si="26"/>
        <v>0</v>
      </c>
      <c r="L110" s="29">
        <f t="shared" si="26"/>
        <v>0</v>
      </c>
      <c r="M110" s="29">
        <f t="shared" si="26"/>
        <v>0</v>
      </c>
      <c r="N110" s="29">
        <f t="shared" si="26"/>
        <v>0</v>
      </c>
      <c r="O110" s="29">
        <f t="shared" si="26"/>
        <v>0</v>
      </c>
      <c r="P110" s="29">
        <f t="shared" si="26"/>
        <v>0</v>
      </c>
      <c r="Q110" s="29">
        <f t="shared" si="26"/>
        <v>0</v>
      </c>
      <c r="R110" s="29">
        <f t="shared" si="26"/>
        <v>0</v>
      </c>
      <c r="S110" s="29">
        <f t="shared" si="26"/>
        <v>0</v>
      </c>
      <c r="T110" s="29">
        <f t="shared" si="26"/>
        <v>0</v>
      </c>
      <c r="U110" s="29">
        <f t="shared" si="26"/>
        <v>0</v>
      </c>
      <c r="V110" s="29">
        <f t="shared" si="26"/>
        <v>0</v>
      </c>
      <c r="W110" s="29">
        <f t="shared" si="26"/>
        <v>0</v>
      </c>
      <c r="X110" s="29">
        <f t="shared" si="26"/>
        <v>0</v>
      </c>
      <c r="Y110" s="29">
        <f t="shared" si="27"/>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c r="C111" s="7" t="s">
        <v>86</v>
      </c>
      <c r="E111" s="29">
        <f t="shared" si="26"/>
        <v>0</v>
      </c>
      <c r="F111" s="29">
        <f t="shared" si="26"/>
        <v>0</v>
      </c>
      <c r="G111" s="29">
        <f t="shared" si="26"/>
        <v>0</v>
      </c>
      <c r="H111" s="29">
        <f t="shared" si="26"/>
        <v>0</v>
      </c>
      <c r="I111" s="29">
        <f t="shared" si="26"/>
        <v>0</v>
      </c>
      <c r="J111" s="29">
        <f t="shared" si="26"/>
        <v>0</v>
      </c>
      <c r="K111" s="29">
        <f t="shared" si="26"/>
        <v>0</v>
      </c>
      <c r="L111" s="29">
        <f t="shared" si="26"/>
        <v>0</v>
      </c>
      <c r="M111" s="29">
        <f t="shared" si="26"/>
        <v>0</v>
      </c>
      <c r="N111" s="29">
        <f t="shared" si="26"/>
        <v>0</v>
      </c>
      <c r="O111" s="29">
        <f t="shared" si="26"/>
        <v>0</v>
      </c>
      <c r="P111" s="29">
        <f t="shared" si="26"/>
        <v>0</v>
      </c>
      <c r="Q111" s="29">
        <f t="shared" si="26"/>
        <v>0</v>
      </c>
      <c r="R111" s="29">
        <f t="shared" si="26"/>
        <v>0</v>
      </c>
      <c r="S111" s="29">
        <f t="shared" si="26"/>
        <v>0</v>
      </c>
      <c r="T111" s="29">
        <f t="shared" si="26"/>
        <v>0</v>
      </c>
      <c r="U111" s="29">
        <f t="shared" si="26"/>
        <v>0</v>
      </c>
      <c r="V111" s="29">
        <f t="shared" si="26"/>
        <v>0</v>
      </c>
      <c r="W111" s="29">
        <f t="shared" si="26"/>
        <v>0</v>
      </c>
      <c r="X111" s="29">
        <f t="shared" si="26"/>
        <v>0</v>
      </c>
      <c r="Y111" s="29">
        <f t="shared" si="27"/>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1:80">
      <c r="C112" s="7" t="s">
        <v>89</v>
      </c>
      <c r="E112" s="29">
        <f t="shared" si="26"/>
        <v>0</v>
      </c>
      <c r="F112" s="29">
        <f t="shared" si="26"/>
        <v>0</v>
      </c>
      <c r="G112" s="29">
        <f t="shared" si="26"/>
        <v>0</v>
      </c>
      <c r="H112" s="29">
        <f t="shared" si="26"/>
        <v>0</v>
      </c>
      <c r="I112" s="29">
        <f t="shared" si="26"/>
        <v>0</v>
      </c>
      <c r="J112" s="29">
        <f t="shared" si="26"/>
        <v>0</v>
      </c>
      <c r="K112" s="29">
        <f t="shared" si="26"/>
        <v>0</v>
      </c>
      <c r="L112" s="29">
        <f t="shared" si="26"/>
        <v>0</v>
      </c>
      <c r="M112" s="29">
        <f t="shared" si="26"/>
        <v>0</v>
      </c>
      <c r="N112" s="29">
        <f t="shared" si="26"/>
        <v>0</v>
      </c>
      <c r="O112" s="29">
        <f t="shared" si="26"/>
        <v>0</v>
      </c>
      <c r="P112" s="29">
        <f t="shared" si="26"/>
        <v>0</v>
      </c>
      <c r="Q112" s="29">
        <f t="shared" si="26"/>
        <v>0</v>
      </c>
      <c r="R112" s="29">
        <f t="shared" si="26"/>
        <v>0</v>
      </c>
      <c r="S112" s="29">
        <f t="shared" si="26"/>
        <v>0</v>
      </c>
      <c r="T112" s="29">
        <f t="shared" si="26"/>
        <v>0</v>
      </c>
      <c r="U112" s="29">
        <f t="shared" si="26"/>
        <v>0</v>
      </c>
      <c r="V112" s="29">
        <f t="shared" si="26"/>
        <v>0</v>
      </c>
      <c r="W112" s="29">
        <f t="shared" si="26"/>
        <v>0</v>
      </c>
      <c r="X112" s="29">
        <f t="shared" si="26"/>
        <v>0</v>
      </c>
      <c r="Y112" s="29">
        <f t="shared" si="27"/>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7" t="s">
        <v>92</v>
      </c>
      <c r="E113" s="29">
        <f t="shared" ca="1" si="26"/>
        <v>1.1044780682384054E-2</v>
      </c>
      <c r="F113" s="29">
        <f t="shared" ca="1" si="26"/>
        <v>2.7188741698982104E-2</v>
      </c>
      <c r="G113" s="29">
        <f t="shared" ca="1" si="26"/>
        <v>5.7338279589448829E-2</v>
      </c>
      <c r="H113" s="29">
        <f t="shared" ca="1" si="26"/>
        <v>0.10897597276419037</v>
      </c>
      <c r="I113" s="29">
        <f t="shared" ca="1" si="26"/>
        <v>0.18694429609492741</v>
      </c>
      <c r="J113" s="29">
        <f t="shared" ca="1" si="26"/>
        <v>0.28617717630632067</v>
      </c>
      <c r="K113" s="29">
        <f t="shared" ca="1" si="26"/>
        <v>0.41199185827335599</v>
      </c>
      <c r="L113" s="29">
        <f t="shared" ca="1" si="26"/>
        <v>0.5652949989211401</v>
      </c>
      <c r="M113" s="29">
        <f t="shared" ca="1" si="26"/>
        <v>0.7250692571995585</v>
      </c>
      <c r="N113" s="29">
        <f t="shared" ca="1" si="26"/>
        <v>0.9061147080120262</v>
      </c>
      <c r="O113" s="29">
        <f t="shared" ca="1" si="26"/>
        <v>1.0704665880723483</v>
      </c>
      <c r="P113" s="29">
        <f t="shared" ca="1" si="26"/>
        <v>1.1935926911535075</v>
      </c>
      <c r="Q113" s="29">
        <f t="shared" ca="1" si="26"/>
        <v>1.2721178353061608</v>
      </c>
      <c r="R113" s="29">
        <f t="shared" ca="1" si="26"/>
        <v>1.3587851062855649</v>
      </c>
      <c r="S113" s="29">
        <f t="shared" ca="1" si="26"/>
        <v>1.4380018126744669</v>
      </c>
      <c r="T113" s="29">
        <f t="shared" ca="1" si="26"/>
        <v>1.4762955439020988</v>
      </c>
      <c r="U113" s="29">
        <f t="shared" ca="1" si="26"/>
        <v>1.4568238751188716</v>
      </c>
      <c r="V113" s="29">
        <f t="shared" ca="1" si="26"/>
        <v>1.4725431382485081</v>
      </c>
      <c r="W113" s="29">
        <f t="shared" ca="1" si="26"/>
        <v>1.4873147655302563</v>
      </c>
      <c r="X113" s="29">
        <f t="shared" ca="1" si="26"/>
        <v>1.5037580106481518</v>
      </c>
      <c r="Y113" s="29">
        <f t="shared" ca="1" si="27"/>
        <v>17.015839436482267</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7" t="s">
        <v>95</v>
      </c>
      <c r="E114" s="29">
        <f t="shared" ca="1" si="26"/>
        <v>2.4690010088186665E-4</v>
      </c>
      <c r="F114" s="29">
        <f t="shared" ca="1" si="26"/>
        <v>6.3915499013988269E-4</v>
      </c>
      <c r="G114" s="29">
        <f t="shared" ca="1" si="26"/>
        <v>1.4712654842315778E-3</v>
      </c>
      <c r="H114" s="29">
        <f t="shared" ca="1" si="26"/>
        <v>2.9941866306745779E-3</v>
      </c>
      <c r="I114" s="29">
        <f t="shared" ca="1" si="26"/>
        <v>5.1174506518643359E-3</v>
      </c>
      <c r="J114" s="29">
        <f t="shared" ca="1" si="26"/>
        <v>8.0882466285547849E-3</v>
      </c>
      <c r="K114" s="29">
        <f t="shared" ca="1" si="26"/>
        <v>1.2011718666657956E-2</v>
      </c>
      <c r="L114" s="29">
        <f t="shared" ca="1" si="26"/>
        <v>1.6651105802641064E-2</v>
      </c>
      <c r="M114" s="29">
        <f t="shared" ca="1" si="26"/>
        <v>2.1692899556164047E-2</v>
      </c>
      <c r="N114" s="29">
        <f t="shared" ca="1" si="26"/>
        <v>2.6660130947356087E-2</v>
      </c>
      <c r="O114" s="29">
        <f t="shared" ca="1" si="26"/>
        <v>3.1114535975033775E-2</v>
      </c>
      <c r="P114" s="29">
        <f t="shared" ca="1" si="26"/>
        <v>3.5101090086295583E-2</v>
      </c>
      <c r="Q114" s="29">
        <f t="shared" ca="1" si="26"/>
        <v>3.846567418454061E-2</v>
      </c>
      <c r="R114" s="29">
        <f t="shared" ca="1" si="26"/>
        <v>4.1089280683733076E-2</v>
      </c>
      <c r="S114" s="29">
        <f t="shared" ca="1" si="26"/>
        <v>4.3006533291568783E-2</v>
      </c>
      <c r="T114" s="29">
        <f t="shared" ca="1" si="26"/>
        <v>4.4316424273900701E-2</v>
      </c>
      <c r="U114" s="29">
        <f t="shared" ca="1" si="26"/>
        <v>4.5173053598744461E-2</v>
      </c>
      <c r="V114" s="29">
        <f t="shared" ca="1" si="26"/>
        <v>4.5742397059798767E-2</v>
      </c>
      <c r="W114" s="29">
        <f t="shared" ca="1" si="26"/>
        <v>4.6099926029398164E-2</v>
      </c>
      <c r="X114" s="29">
        <f t="shared" ca="1" si="26"/>
        <v>4.6305844655445405E-2</v>
      </c>
      <c r="Y114" s="29">
        <f t="shared" ca="1" si="27"/>
        <v>0.51198781929762549</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7" t="s">
        <v>98</v>
      </c>
      <c r="E115" s="29">
        <f t="shared" ca="1" si="26"/>
        <v>9.8476390133985306E-4</v>
      </c>
      <c r="F115" s="29">
        <f t="shared" ca="1" si="26"/>
        <v>2.4410151952274431E-3</v>
      </c>
      <c r="G115" s="29">
        <f t="shared" ca="1" si="26"/>
        <v>5.2140768175717236E-3</v>
      </c>
      <c r="H115" s="29">
        <f t="shared" ca="1" si="26"/>
        <v>1.0016032021031365E-2</v>
      </c>
      <c r="I115" s="29">
        <f t="shared" ca="1" si="26"/>
        <v>1.717195373763028E-2</v>
      </c>
      <c r="J115" s="29">
        <f t="shared" ca="1" si="26"/>
        <v>2.6423656025150732E-2</v>
      </c>
      <c r="K115" s="29">
        <f t="shared" ca="1" si="26"/>
        <v>3.8237863917296999E-2</v>
      </c>
      <c r="L115" s="29">
        <f t="shared" ca="1" si="26"/>
        <v>5.2557423579422835E-2</v>
      </c>
      <c r="M115" s="29">
        <f t="shared" ca="1" si="26"/>
        <v>6.7592333251697223E-2</v>
      </c>
      <c r="N115" s="29">
        <f t="shared" ca="1" si="26"/>
        <v>8.4228486258573043E-2</v>
      </c>
      <c r="O115" s="29">
        <f t="shared" ca="1" si="26"/>
        <v>9.9301248583385737E-2</v>
      </c>
      <c r="P115" s="29">
        <f t="shared" ca="1" si="26"/>
        <v>0.11094187432544445</v>
      </c>
      <c r="Q115" s="29">
        <f t="shared" ca="1" si="26"/>
        <v>0.11880719356123315</v>
      </c>
      <c r="R115" s="29">
        <f t="shared" ca="1" si="26"/>
        <v>0.12690294277600001</v>
      </c>
      <c r="S115" s="29">
        <f t="shared" ca="1" si="26"/>
        <v>0.13404458672589659</v>
      </c>
      <c r="T115" s="29">
        <f t="shared" ca="1" si="26"/>
        <v>0.13770255833182476</v>
      </c>
      <c r="U115" s="29">
        <f t="shared" ca="1" si="26"/>
        <v>0.13666003737599519</v>
      </c>
      <c r="V115" s="29">
        <f t="shared" ca="1" si="26"/>
        <v>0.13817859360378226</v>
      </c>
      <c r="W115" s="29">
        <f t="shared" ca="1" si="26"/>
        <v>0.13951031287829907</v>
      </c>
      <c r="X115" s="29">
        <f t="shared" ca="1" si="26"/>
        <v>0.1408896175239136</v>
      </c>
      <c r="Y115" s="29">
        <f t="shared" ca="1" si="27"/>
        <v>1.5878065703907163</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7" t="s">
        <v>101</v>
      </c>
      <c r="E116" s="29">
        <f t="shared" ca="1" si="26"/>
        <v>3.0038460322245192E-4</v>
      </c>
      <c r="F116" s="29">
        <f t="shared" ca="1" si="26"/>
        <v>7.3899005622532488E-4</v>
      </c>
      <c r="G116" s="29">
        <f t="shared" ca="1" si="26"/>
        <v>1.5566398963275246E-3</v>
      </c>
      <c r="H116" s="29">
        <f t="shared" ca="1" si="26"/>
        <v>2.9556064892622969E-3</v>
      </c>
      <c r="I116" s="29">
        <f t="shared" ca="1" si="26"/>
        <v>5.0705138743228628E-3</v>
      </c>
      <c r="J116" s="29">
        <f t="shared" ca="1" si="26"/>
        <v>7.7582777292909411E-3</v>
      </c>
      <c r="K116" s="29">
        <f t="shared" ca="1" si="26"/>
        <v>1.1163712857450159E-2</v>
      </c>
      <c r="L116" s="29">
        <f t="shared" ca="1" si="26"/>
        <v>1.5315258771925189E-2</v>
      </c>
      <c r="M116" s="29">
        <f t="shared" ca="1" si="26"/>
        <v>1.9639007724915225E-2</v>
      </c>
      <c r="N116" s="29">
        <f t="shared" ca="1" si="26"/>
        <v>2.4549360867683889E-2</v>
      </c>
      <c r="O116" s="29">
        <f t="shared" ca="1" si="26"/>
        <v>2.9007753836763239E-2</v>
      </c>
      <c r="P116" s="29">
        <f t="shared" ca="1" si="26"/>
        <v>3.233825558187009E-2</v>
      </c>
      <c r="Q116" s="29">
        <f t="shared" ca="1" si="26"/>
        <v>3.4450228677772143E-2</v>
      </c>
      <c r="R116" s="29">
        <f t="shared" ca="1" si="26"/>
        <v>3.6797221229044164E-2</v>
      </c>
      <c r="S116" s="29">
        <f t="shared" ca="1" si="26"/>
        <v>3.8949522062421416E-2</v>
      </c>
      <c r="T116" s="29">
        <f t="shared" ca="1" si="26"/>
        <v>3.9984318907065441E-2</v>
      </c>
      <c r="U116" s="29">
        <f t="shared" ca="1" si="26"/>
        <v>3.9435743002852686E-2</v>
      </c>
      <c r="V116" s="29">
        <f t="shared" ca="1" si="26"/>
        <v>3.986005311620433E-2</v>
      </c>
      <c r="W116" s="29">
        <f t="shared" ca="1" si="26"/>
        <v>4.0261394798332351E-2</v>
      </c>
      <c r="X116" s="29">
        <f t="shared" ca="1" si="26"/>
        <v>4.0710979516253687E-2</v>
      </c>
      <c r="Y116" s="29">
        <f t="shared" ca="1" si="27"/>
        <v>0.46084322359920538</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7" t="s">
        <v>104</v>
      </c>
      <c r="E117" s="29">
        <f t="shared" ca="1" si="26"/>
        <v>0</v>
      </c>
      <c r="F117" s="29">
        <f t="shared" ca="1" si="26"/>
        <v>0</v>
      </c>
      <c r="G117" s="29">
        <f t="shared" ca="1" si="26"/>
        <v>0</v>
      </c>
      <c r="H117" s="29">
        <f t="shared" ca="1" si="26"/>
        <v>0</v>
      </c>
      <c r="I117" s="29">
        <f t="shared" ca="1" si="26"/>
        <v>0</v>
      </c>
      <c r="J117" s="29">
        <f t="shared" ca="1" si="26"/>
        <v>0</v>
      </c>
      <c r="K117" s="29">
        <f t="shared" ca="1" si="26"/>
        <v>0</v>
      </c>
      <c r="L117" s="29">
        <f t="shared" ca="1" si="26"/>
        <v>0</v>
      </c>
      <c r="M117" s="29">
        <f t="shared" ca="1" si="26"/>
        <v>0</v>
      </c>
      <c r="N117" s="29">
        <f t="shared" ca="1" si="26"/>
        <v>0</v>
      </c>
      <c r="O117" s="29">
        <f t="shared" ca="1" si="26"/>
        <v>0</v>
      </c>
      <c r="P117" s="29">
        <f t="shared" ca="1" si="26"/>
        <v>0</v>
      </c>
      <c r="Q117" s="29">
        <f t="shared" ca="1" si="26"/>
        <v>0</v>
      </c>
      <c r="R117" s="29">
        <f t="shared" ca="1" si="26"/>
        <v>0</v>
      </c>
      <c r="S117" s="29">
        <f t="shared" ca="1" si="26"/>
        <v>0</v>
      </c>
      <c r="T117" s="29">
        <f t="shared" ca="1" si="26"/>
        <v>0</v>
      </c>
      <c r="U117" s="29">
        <f t="shared" ca="1" si="26"/>
        <v>0</v>
      </c>
      <c r="V117" s="29">
        <f t="shared" ca="1" si="26"/>
        <v>0</v>
      </c>
      <c r="W117" s="29">
        <f t="shared" ca="1" si="26"/>
        <v>0</v>
      </c>
      <c r="X117" s="29">
        <f t="shared" ca="1" si="26"/>
        <v>0</v>
      </c>
      <c r="Y117" s="29">
        <f t="shared" ca="1" si="27"/>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7" t="s">
        <v>107</v>
      </c>
      <c r="E118" s="29">
        <f t="shared" ca="1" si="26"/>
        <v>0</v>
      </c>
      <c r="F118" s="29">
        <f t="shared" ca="1" si="26"/>
        <v>0</v>
      </c>
      <c r="G118" s="29">
        <f t="shared" ca="1" si="26"/>
        <v>0</v>
      </c>
      <c r="H118" s="29">
        <f t="shared" ca="1" si="26"/>
        <v>0</v>
      </c>
      <c r="I118" s="29">
        <f t="shared" ca="1" si="26"/>
        <v>0</v>
      </c>
      <c r="J118" s="29">
        <f t="shared" ca="1" si="26"/>
        <v>0</v>
      </c>
      <c r="K118" s="29">
        <f t="shared" ca="1" si="26"/>
        <v>0</v>
      </c>
      <c r="L118" s="29">
        <f t="shared" ca="1" si="26"/>
        <v>0</v>
      </c>
      <c r="M118" s="29">
        <f t="shared" ca="1" si="26"/>
        <v>0</v>
      </c>
      <c r="N118" s="29">
        <f t="shared" ca="1" si="26"/>
        <v>0</v>
      </c>
      <c r="O118" s="29">
        <f t="shared" ca="1" si="26"/>
        <v>0</v>
      </c>
      <c r="P118" s="29">
        <f t="shared" ca="1" si="26"/>
        <v>0</v>
      </c>
      <c r="Q118" s="29">
        <f t="shared" ca="1" si="26"/>
        <v>0</v>
      </c>
      <c r="R118" s="29">
        <f t="shared" ca="1" si="26"/>
        <v>0</v>
      </c>
      <c r="S118" s="29">
        <f t="shared" ca="1" si="26"/>
        <v>0</v>
      </c>
      <c r="T118" s="29">
        <f t="shared" ca="1" si="26"/>
        <v>0</v>
      </c>
      <c r="U118" s="29">
        <f t="shared" ca="1" si="26"/>
        <v>0</v>
      </c>
      <c r="V118" s="29">
        <f t="shared" ca="1" si="26"/>
        <v>0</v>
      </c>
      <c r="W118" s="29">
        <f t="shared" ca="1" si="26"/>
        <v>0</v>
      </c>
      <c r="X118" s="29">
        <f t="shared" ca="1" si="26"/>
        <v>0</v>
      </c>
      <c r="Y118" s="29">
        <f t="shared" ca="1" si="27"/>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7" t="s">
        <v>110</v>
      </c>
      <c r="E119" s="29">
        <f t="shared" ca="1" si="26"/>
        <v>0</v>
      </c>
      <c r="F119" s="29">
        <f t="shared" ca="1" si="26"/>
        <v>0</v>
      </c>
      <c r="G119" s="29">
        <f t="shared" ca="1" si="26"/>
        <v>0</v>
      </c>
      <c r="H119" s="29">
        <f t="shared" ref="H119:X119" ca="1" si="28">H82-H81</f>
        <v>0</v>
      </c>
      <c r="I119" s="29">
        <f t="shared" ca="1" si="28"/>
        <v>0</v>
      </c>
      <c r="J119" s="29">
        <f t="shared" ca="1" si="28"/>
        <v>0</v>
      </c>
      <c r="K119" s="29">
        <f t="shared" ca="1" si="28"/>
        <v>0</v>
      </c>
      <c r="L119" s="29">
        <f t="shared" ca="1" si="28"/>
        <v>0</v>
      </c>
      <c r="M119" s="29">
        <f t="shared" ca="1" si="28"/>
        <v>0</v>
      </c>
      <c r="N119" s="29">
        <f t="shared" ca="1" si="28"/>
        <v>0</v>
      </c>
      <c r="O119" s="29">
        <f t="shared" ca="1" si="28"/>
        <v>0</v>
      </c>
      <c r="P119" s="29">
        <f t="shared" ca="1" si="28"/>
        <v>0</v>
      </c>
      <c r="Q119" s="29">
        <f t="shared" ca="1" si="28"/>
        <v>0</v>
      </c>
      <c r="R119" s="29">
        <f t="shared" ca="1" si="28"/>
        <v>0</v>
      </c>
      <c r="S119" s="29">
        <f t="shared" ca="1" si="28"/>
        <v>0</v>
      </c>
      <c r="T119" s="29">
        <f t="shared" ca="1" si="28"/>
        <v>0</v>
      </c>
      <c r="U119" s="29">
        <f t="shared" ca="1" si="28"/>
        <v>0</v>
      </c>
      <c r="V119" s="29">
        <f t="shared" ca="1" si="28"/>
        <v>0</v>
      </c>
      <c r="W119" s="29">
        <f t="shared" ca="1" si="28"/>
        <v>0</v>
      </c>
      <c r="X119" s="29">
        <f t="shared" ca="1" si="28"/>
        <v>0</v>
      </c>
      <c r="Y119" s="29">
        <f t="shared" ca="1" si="27"/>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7" t="s">
        <v>113</v>
      </c>
      <c r="E120" s="29">
        <f t="shared" ref="E120:X120" ca="1" si="29">E83-E82</f>
        <v>0</v>
      </c>
      <c r="F120" s="29">
        <f t="shared" ca="1" si="29"/>
        <v>0</v>
      </c>
      <c r="G120" s="29">
        <f t="shared" ca="1" si="29"/>
        <v>0</v>
      </c>
      <c r="H120" s="29">
        <f t="shared" ca="1" si="29"/>
        <v>0</v>
      </c>
      <c r="I120" s="29">
        <f t="shared" ca="1" si="29"/>
        <v>0</v>
      </c>
      <c r="J120" s="29">
        <f t="shared" ca="1" si="29"/>
        <v>0</v>
      </c>
      <c r="K120" s="29">
        <f t="shared" ca="1" si="29"/>
        <v>0</v>
      </c>
      <c r="L120" s="29">
        <f t="shared" ca="1" si="29"/>
        <v>0</v>
      </c>
      <c r="M120" s="29">
        <f t="shared" ca="1" si="29"/>
        <v>0</v>
      </c>
      <c r="N120" s="29">
        <f t="shared" ca="1" si="29"/>
        <v>0</v>
      </c>
      <c r="O120" s="29">
        <f t="shared" ca="1" si="29"/>
        <v>0</v>
      </c>
      <c r="P120" s="29">
        <f t="shared" ca="1" si="29"/>
        <v>0</v>
      </c>
      <c r="Q120" s="29">
        <f t="shared" ca="1" si="29"/>
        <v>0</v>
      </c>
      <c r="R120" s="29">
        <f t="shared" ca="1" si="29"/>
        <v>0</v>
      </c>
      <c r="S120" s="29">
        <f t="shared" ca="1" si="29"/>
        <v>0</v>
      </c>
      <c r="T120" s="29">
        <f t="shared" ca="1" si="29"/>
        <v>0</v>
      </c>
      <c r="U120" s="29">
        <f t="shared" ca="1" si="29"/>
        <v>0</v>
      </c>
      <c r="V120" s="29">
        <f t="shared" ca="1" si="29"/>
        <v>0</v>
      </c>
      <c r="W120" s="29">
        <f t="shared" ca="1" si="29"/>
        <v>0</v>
      </c>
      <c r="X120" s="29">
        <f t="shared" ca="1" si="29"/>
        <v>0</v>
      </c>
      <c r="Y120" s="29">
        <f t="shared" ca="1" si="27"/>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7" t="s">
        <v>116</v>
      </c>
      <c r="E121" s="29">
        <f t="shared" ref="E121:X121" ca="1" si="30">E84-E83</f>
        <v>0</v>
      </c>
      <c r="F121" s="29">
        <f t="shared" ca="1" si="30"/>
        <v>0</v>
      </c>
      <c r="G121" s="29">
        <f t="shared" ca="1" si="30"/>
        <v>0</v>
      </c>
      <c r="H121" s="29">
        <f t="shared" ca="1" si="30"/>
        <v>0</v>
      </c>
      <c r="I121" s="29">
        <f t="shared" ca="1" si="30"/>
        <v>0</v>
      </c>
      <c r="J121" s="29">
        <f t="shared" ca="1" si="30"/>
        <v>0</v>
      </c>
      <c r="K121" s="29">
        <f t="shared" ca="1" si="30"/>
        <v>0</v>
      </c>
      <c r="L121" s="29">
        <f t="shared" ca="1" si="30"/>
        <v>0</v>
      </c>
      <c r="M121" s="29">
        <f t="shared" ca="1" si="30"/>
        <v>0</v>
      </c>
      <c r="N121" s="29">
        <f t="shared" ca="1" si="30"/>
        <v>0</v>
      </c>
      <c r="O121" s="29">
        <f t="shared" ca="1" si="30"/>
        <v>0</v>
      </c>
      <c r="P121" s="29">
        <f t="shared" ca="1" si="30"/>
        <v>0</v>
      </c>
      <c r="Q121" s="29">
        <f t="shared" ca="1" si="30"/>
        <v>0</v>
      </c>
      <c r="R121" s="29">
        <f t="shared" ca="1" si="30"/>
        <v>0</v>
      </c>
      <c r="S121" s="29">
        <f t="shared" ca="1" si="30"/>
        <v>0</v>
      </c>
      <c r="T121" s="29">
        <f t="shared" ca="1" si="30"/>
        <v>0</v>
      </c>
      <c r="U121" s="29">
        <f t="shared" ca="1" si="30"/>
        <v>0</v>
      </c>
      <c r="V121" s="29">
        <f t="shared" ca="1" si="30"/>
        <v>0</v>
      </c>
      <c r="W121" s="29">
        <f t="shared" ca="1" si="30"/>
        <v>0</v>
      </c>
      <c r="X121" s="29">
        <f t="shared" ca="1" si="30"/>
        <v>0</v>
      </c>
      <c r="Y121" s="29">
        <f t="shared" ca="1" si="27"/>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7" t="s">
        <v>119</v>
      </c>
      <c r="E122" s="29">
        <f t="shared" ref="E122:X122" ca="1" si="31">E85-E84</f>
        <v>0</v>
      </c>
      <c r="F122" s="29">
        <f t="shared" ca="1" si="31"/>
        <v>0</v>
      </c>
      <c r="G122" s="29">
        <f t="shared" ca="1" si="31"/>
        <v>0</v>
      </c>
      <c r="H122" s="29">
        <f t="shared" ca="1" si="31"/>
        <v>0</v>
      </c>
      <c r="I122" s="29">
        <f t="shared" ca="1" si="31"/>
        <v>0</v>
      </c>
      <c r="J122" s="29">
        <f t="shared" ca="1" si="31"/>
        <v>0</v>
      </c>
      <c r="K122" s="29">
        <f t="shared" ca="1" si="31"/>
        <v>0</v>
      </c>
      <c r="L122" s="29">
        <f t="shared" ca="1" si="31"/>
        <v>0</v>
      </c>
      <c r="M122" s="29">
        <f t="shared" ca="1" si="31"/>
        <v>0</v>
      </c>
      <c r="N122" s="29">
        <f t="shared" ca="1" si="31"/>
        <v>0</v>
      </c>
      <c r="O122" s="29">
        <f t="shared" ca="1" si="31"/>
        <v>0</v>
      </c>
      <c r="P122" s="29">
        <f t="shared" ca="1" si="31"/>
        <v>0</v>
      </c>
      <c r="Q122" s="29">
        <f t="shared" ca="1" si="31"/>
        <v>0</v>
      </c>
      <c r="R122" s="29">
        <f t="shared" ca="1" si="31"/>
        <v>0</v>
      </c>
      <c r="S122" s="29">
        <f t="shared" ca="1" si="31"/>
        <v>0</v>
      </c>
      <c r="T122" s="29">
        <f t="shared" ca="1" si="31"/>
        <v>0</v>
      </c>
      <c r="U122" s="29">
        <f t="shared" ca="1" si="31"/>
        <v>0</v>
      </c>
      <c r="V122" s="29">
        <f t="shared" ca="1" si="31"/>
        <v>0</v>
      </c>
      <c r="W122" s="29">
        <f t="shared" ca="1" si="31"/>
        <v>0</v>
      </c>
      <c r="X122" s="29">
        <f t="shared" ca="1" si="31"/>
        <v>0</v>
      </c>
      <c r="Y122" s="29">
        <f t="shared" ca="1" si="27"/>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7" t="s">
        <v>122</v>
      </c>
      <c r="E123" s="29">
        <f t="shared" ref="E123:X123" ca="1" si="32">E86-E85</f>
        <v>0</v>
      </c>
      <c r="F123" s="29">
        <f t="shared" ca="1" si="32"/>
        <v>0</v>
      </c>
      <c r="G123" s="29">
        <f t="shared" ca="1" si="32"/>
        <v>0</v>
      </c>
      <c r="H123" s="29">
        <f t="shared" ca="1" si="32"/>
        <v>0</v>
      </c>
      <c r="I123" s="29">
        <f t="shared" ca="1" si="32"/>
        <v>0</v>
      </c>
      <c r="J123" s="29">
        <f t="shared" ca="1" si="32"/>
        <v>0</v>
      </c>
      <c r="K123" s="29">
        <f t="shared" ca="1" si="32"/>
        <v>0</v>
      </c>
      <c r="L123" s="29">
        <f t="shared" ca="1" si="32"/>
        <v>0</v>
      </c>
      <c r="M123" s="29">
        <f t="shared" ca="1" si="32"/>
        <v>0</v>
      </c>
      <c r="N123" s="29">
        <f t="shared" ca="1" si="32"/>
        <v>0</v>
      </c>
      <c r="O123" s="29">
        <f t="shared" ca="1" si="32"/>
        <v>0</v>
      </c>
      <c r="P123" s="29">
        <f t="shared" ca="1" si="32"/>
        <v>0</v>
      </c>
      <c r="Q123" s="29">
        <f t="shared" ca="1" si="32"/>
        <v>0</v>
      </c>
      <c r="R123" s="29">
        <f t="shared" ca="1" si="32"/>
        <v>0</v>
      </c>
      <c r="S123" s="29">
        <f t="shared" ca="1" si="32"/>
        <v>0</v>
      </c>
      <c r="T123" s="29">
        <f t="shared" ca="1" si="32"/>
        <v>0</v>
      </c>
      <c r="U123" s="29">
        <f t="shared" ca="1" si="32"/>
        <v>0</v>
      </c>
      <c r="V123" s="29">
        <f t="shared" ca="1" si="32"/>
        <v>0</v>
      </c>
      <c r="W123" s="29">
        <f t="shared" ca="1" si="32"/>
        <v>0</v>
      </c>
      <c r="X123" s="29">
        <f t="shared" ca="1" si="32"/>
        <v>0</v>
      </c>
      <c r="Y123" s="29">
        <f t="shared" ca="1" si="27"/>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C124" s="7" t="s">
        <v>125</v>
      </c>
      <c r="E124" s="29">
        <f t="shared" ref="E124:X124" ca="1" si="33">E87-E86</f>
        <v>0</v>
      </c>
      <c r="F124" s="29">
        <f t="shared" ca="1" si="33"/>
        <v>0</v>
      </c>
      <c r="G124" s="29">
        <f t="shared" ca="1" si="33"/>
        <v>0</v>
      </c>
      <c r="H124" s="29">
        <f t="shared" ca="1" si="33"/>
        <v>0</v>
      </c>
      <c r="I124" s="29">
        <f t="shared" ca="1" si="33"/>
        <v>0</v>
      </c>
      <c r="J124" s="29">
        <f t="shared" ca="1" si="33"/>
        <v>0</v>
      </c>
      <c r="K124" s="29">
        <f t="shared" ca="1" si="33"/>
        <v>0</v>
      </c>
      <c r="L124" s="29">
        <f t="shared" ca="1" si="33"/>
        <v>0</v>
      </c>
      <c r="M124" s="29">
        <f t="shared" ca="1" si="33"/>
        <v>0</v>
      </c>
      <c r="N124" s="29">
        <f t="shared" ca="1" si="33"/>
        <v>0</v>
      </c>
      <c r="O124" s="29">
        <f t="shared" ca="1" si="33"/>
        <v>0</v>
      </c>
      <c r="P124" s="29">
        <f t="shared" ca="1" si="33"/>
        <v>0</v>
      </c>
      <c r="Q124" s="29">
        <f t="shared" ca="1" si="33"/>
        <v>0</v>
      </c>
      <c r="R124" s="29">
        <f t="shared" ca="1" si="33"/>
        <v>0</v>
      </c>
      <c r="S124" s="29">
        <f t="shared" ca="1" si="33"/>
        <v>0</v>
      </c>
      <c r="T124" s="29">
        <f t="shared" ca="1" si="33"/>
        <v>0</v>
      </c>
      <c r="U124" s="29">
        <f t="shared" ca="1" si="33"/>
        <v>0</v>
      </c>
      <c r="V124" s="29">
        <f t="shared" ca="1" si="33"/>
        <v>0</v>
      </c>
      <c r="W124" s="29">
        <f t="shared" ca="1" si="33"/>
        <v>0</v>
      </c>
      <c r="X124" s="29">
        <f t="shared" ca="1" si="33"/>
        <v>0</v>
      </c>
      <c r="Y124" s="29">
        <f t="shared" ca="1" si="27"/>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c r="C125" s="7" t="s">
        <v>128</v>
      </c>
      <c r="E125" s="29">
        <f t="shared" ref="E125:X125" ca="1" si="34">E88-E87</f>
        <v>0</v>
      </c>
      <c r="F125" s="29">
        <f t="shared" ca="1" si="34"/>
        <v>0</v>
      </c>
      <c r="G125" s="29">
        <f t="shared" ca="1" si="34"/>
        <v>0</v>
      </c>
      <c r="H125" s="29">
        <f t="shared" ca="1" si="34"/>
        <v>0</v>
      </c>
      <c r="I125" s="29">
        <f t="shared" ca="1" si="34"/>
        <v>0</v>
      </c>
      <c r="J125" s="29">
        <f t="shared" ca="1" si="34"/>
        <v>0</v>
      </c>
      <c r="K125" s="29">
        <f t="shared" ca="1" si="34"/>
        <v>0</v>
      </c>
      <c r="L125" s="29">
        <f t="shared" ca="1" si="34"/>
        <v>0</v>
      </c>
      <c r="M125" s="29">
        <f t="shared" ca="1" si="34"/>
        <v>0</v>
      </c>
      <c r="N125" s="29">
        <f t="shared" ca="1" si="34"/>
        <v>0</v>
      </c>
      <c r="O125" s="29">
        <f t="shared" ca="1" si="34"/>
        <v>0</v>
      </c>
      <c r="P125" s="29">
        <f t="shared" ca="1" si="34"/>
        <v>0</v>
      </c>
      <c r="Q125" s="29">
        <f t="shared" ca="1" si="34"/>
        <v>0</v>
      </c>
      <c r="R125" s="29">
        <f t="shared" ca="1" si="34"/>
        <v>0</v>
      </c>
      <c r="S125" s="29">
        <f t="shared" ca="1" si="34"/>
        <v>0</v>
      </c>
      <c r="T125" s="29">
        <f t="shared" ca="1" si="34"/>
        <v>0</v>
      </c>
      <c r="U125" s="29">
        <f t="shared" ca="1" si="34"/>
        <v>0</v>
      </c>
      <c r="V125" s="29">
        <f t="shared" ca="1" si="34"/>
        <v>0</v>
      </c>
      <c r="W125" s="29">
        <f t="shared" ca="1" si="34"/>
        <v>0</v>
      </c>
      <c r="X125" s="29">
        <f t="shared" ca="1" si="34"/>
        <v>0</v>
      </c>
      <c r="Y125" s="29">
        <f t="shared" ca="1" si="27"/>
        <v>0</v>
      </c>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c r="C126" s="7" t="s">
        <v>131</v>
      </c>
      <c r="E126" s="29">
        <f ca="1">E89-E88</f>
        <v>0</v>
      </c>
      <c r="F126" s="29">
        <f t="shared" ref="F126:X137" ca="1" si="35">F89-F88</f>
        <v>0</v>
      </c>
      <c r="G126" s="29">
        <f t="shared" ca="1" si="35"/>
        <v>0</v>
      </c>
      <c r="H126" s="29">
        <f t="shared" ca="1" si="35"/>
        <v>0</v>
      </c>
      <c r="I126" s="29">
        <f t="shared" ca="1" si="35"/>
        <v>0</v>
      </c>
      <c r="J126" s="29">
        <f t="shared" ca="1" si="35"/>
        <v>0</v>
      </c>
      <c r="K126" s="29">
        <f t="shared" ca="1" si="35"/>
        <v>0</v>
      </c>
      <c r="L126" s="29">
        <f t="shared" ca="1" si="35"/>
        <v>0</v>
      </c>
      <c r="M126" s="29">
        <f t="shared" ca="1" si="35"/>
        <v>0</v>
      </c>
      <c r="N126" s="29">
        <f t="shared" ca="1" si="35"/>
        <v>0</v>
      </c>
      <c r="O126" s="29">
        <f t="shared" ca="1" si="35"/>
        <v>0</v>
      </c>
      <c r="P126" s="29">
        <f t="shared" ca="1" si="35"/>
        <v>0</v>
      </c>
      <c r="Q126" s="29">
        <f t="shared" ca="1" si="35"/>
        <v>0</v>
      </c>
      <c r="R126" s="29">
        <f t="shared" ca="1" si="35"/>
        <v>0</v>
      </c>
      <c r="S126" s="29">
        <f t="shared" ca="1" si="35"/>
        <v>0</v>
      </c>
      <c r="T126" s="29">
        <f t="shared" ca="1" si="35"/>
        <v>0</v>
      </c>
      <c r="U126" s="29">
        <f t="shared" ca="1" si="35"/>
        <v>0</v>
      </c>
      <c r="V126" s="29">
        <f t="shared" ca="1" si="35"/>
        <v>0</v>
      </c>
      <c r="W126" s="29">
        <f t="shared" ca="1" si="35"/>
        <v>0</v>
      </c>
      <c r="X126" s="29">
        <f t="shared" ca="1" si="35"/>
        <v>0</v>
      </c>
      <c r="Y126" s="29">
        <f t="shared" ca="1" si="27"/>
        <v>0</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C127" s="7" t="s">
        <v>517</v>
      </c>
      <c r="E127" s="29">
        <f t="shared" ref="E127:T137" ca="1" si="36">E90-E89</f>
        <v>0</v>
      </c>
      <c r="F127" s="29">
        <f t="shared" ca="1" si="36"/>
        <v>0</v>
      </c>
      <c r="G127" s="29">
        <f t="shared" ca="1" si="36"/>
        <v>0</v>
      </c>
      <c r="H127" s="29">
        <f t="shared" ca="1" si="36"/>
        <v>0</v>
      </c>
      <c r="I127" s="29">
        <f t="shared" ca="1" si="36"/>
        <v>0</v>
      </c>
      <c r="J127" s="29">
        <f t="shared" ca="1" si="36"/>
        <v>0</v>
      </c>
      <c r="K127" s="29">
        <f t="shared" ca="1" si="36"/>
        <v>0</v>
      </c>
      <c r="L127" s="29">
        <f t="shared" ca="1" si="36"/>
        <v>0</v>
      </c>
      <c r="M127" s="29">
        <f t="shared" ca="1" si="36"/>
        <v>0</v>
      </c>
      <c r="N127" s="29">
        <f t="shared" ca="1" si="36"/>
        <v>0</v>
      </c>
      <c r="O127" s="29">
        <f t="shared" ca="1" si="36"/>
        <v>0</v>
      </c>
      <c r="P127" s="29">
        <f t="shared" ca="1" si="36"/>
        <v>0</v>
      </c>
      <c r="Q127" s="29">
        <f t="shared" ca="1" si="36"/>
        <v>0</v>
      </c>
      <c r="R127" s="29">
        <f t="shared" ca="1" si="36"/>
        <v>0</v>
      </c>
      <c r="S127" s="29">
        <f t="shared" ca="1" si="36"/>
        <v>0</v>
      </c>
      <c r="T127" s="29">
        <f t="shared" ca="1" si="36"/>
        <v>0</v>
      </c>
      <c r="U127" s="29">
        <f t="shared" ca="1" si="35"/>
        <v>0</v>
      </c>
      <c r="V127" s="29">
        <f t="shared" ca="1" si="35"/>
        <v>0</v>
      </c>
      <c r="W127" s="29">
        <f t="shared" ca="1" si="35"/>
        <v>0</v>
      </c>
      <c r="X127" s="29">
        <f t="shared" ca="1" si="35"/>
        <v>0</v>
      </c>
      <c r="Y127" s="29">
        <f t="shared" ca="1" si="27"/>
        <v>0</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28" spans="3:80">
      <c r="C128" s="7" t="s">
        <v>518</v>
      </c>
      <c r="E128" s="29">
        <f t="shared" ca="1" si="36"/>
        <v>0</v>
      </c>
      <c r="F128" s="29">
        <f t="shared" ca="1" si="35"/>
        <v>0</v>
      </c>
      <c r="G128" s="29">
        <f t="shared" ca="1" si="35"/>
        <v>0</v>
      </c>
      <c r="H128" s="29">
        <f t="shared" ca="1" si="35"/>
        <v>0</v>
      </c>
      <c r="I128" s="29">
        <f t="shared" ca="1" si="35"/>
        <v>0</v>
      </c>
      <c r="J128" s="29">
        <f t="shared" ca="1" si="35"/>
        <v>0</v>
      </c>
      <c r="K128" s="29">
        <f t="shared" ca="1" si="35"/>
        <v>0</v>
      </c>
      <c r="L128" s="29">
        <f t="shared" ca="1" si="35"/>
        <v>0</v>
      </c>
      <c r="M128" s="29">
        <f t="shared" ca="1" si="35"/>
        <v>0</v>
      </c>
      <c r="N128" s="29">
        <f t="shared" ca="1" si="35"/>
        <v>0</v>
      </c>
      <c r="O128" s="29">
        <f t="shared" ca="1" si="35"/>
        <v>0</v>
      </c>
      <c r="P128" s="29">
        <f t="shared" ca="1" si="35"/>
        <v>0</v>
      </c>
      <c r="Q128" s="29">
        <f t="shared" ca="1" si="35"/>
        <v>0</v>
      </c>
      <c r="R128" s="29">
        <f t="shared" ca="1" si="35"/>
        <v>0</v>
      </c>
      <c r="S128" s="29">
        <f t="shared" ca="1" si="35"/>
        <v>0</v>
      </c>
      <c r="T128" s="29">
        <f t="shared" ca="1" si="35"/>
        <v>0</v>
      </c>
      <c r="U128" s="29">
        <f t="shared" ca="1" si="35"/>
        <v>0</v>
      </c>
      <c r="V128" s="29">
        <f t="shared" ca="1" si="35"/>
        <v>0</v>
      </c>
      <c r="W128" s="29">
        <f t="shared" ca="1" si="35"/>
        <v>0</v>
      </c>
      <c r="X128" s="29">
        <f t="shared" ca="1" si="35"/>
        <v>0</v>
      </c>
      <c r="Y128" s="29">
        <f t="shared" ca="1" si="27"/>
        <v>0</v>
      </c>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1:80">
      <c r="C129" s="7" t="s">
        <v>519</v>
      </c>
      <c r="E129" s="29">
        <f t="shared" ca="1" si="36"/>
        <v>0</v>
      </c>
      <c r="F129" s="29">
        <f t="shared" ca="1" si="35"/>
        <v>0</v>
      </c>
      <c r="G129" s="29">
        <f t="shared" ca="1" si="35"/>
        <v>0</v>
      </c>
      <c r="H129" s="29">
        <f t="shared" ca="1" si="35"/>
        <v>0</v>
      </c>
      <c r="I129" s="29">
        <f t="shared" ca="1" si="35"/>
        <v>0</v>
      </c>
      <c r="J129" s="29">
        <f t="shared" ca="1" si="35"/>
        <v>0</v>
      </c>
      <c r="K129" s="29">
        <f t="shared" ca="1" si="35"/>
        <v>0</v>
      </c>
      <c r="L129" s="29">
        <f t="shared" ca="1" si="35"/>
        <v>0</v>
      </c>
      <c r="M129" s="29">
        <f t="shared" ca="1" si="35"/>
        <v>0</v>
      </c>
      <c r="N129" s="29">
        <f t="shared" ca="1" si="35"/>
        <v>0</v>
      </c>
      <c r="O129" s="29">
        <f t="shared" ca="1" si="35"/>
        <v>0</v>
      </c>
      <c r="P129" s="29">
        <f t="shared" ca="1" si="35"/>
        <v>0</v>
      </c>
      <c r="Q129" s="29">
        <f t="shared" ca="1" si="35"/>
        <v>0</v>
      </c>
      <c r="R129" s="29">
        <f t="shared" ca="1" si="35"/>
        <v>0</v>
      </c>
      <c r="S129" s="29">
        <f t="shared" ca="1" si="35"/>
        <v>0</v>
      </c>
      <c r="T129" s="29">
        <f t="shared" ca="1" si="35"/>
        <v>0</v>
      </c>
      <c r="U129" s="29">
        <f t="shared" ca="1" si="35"/>
        <v>0</v>
      </c>
      <c r="V129" s="29">
        <f t="shared" ca="1" si="35"/>
        <v>0</v>
      </c>
      <c r="W129" s="29">
        <f t="shared" ca="1" si="35"/>
        <v>0</v>
      </c>
      <c r="X129" s="29">
        <f t="shared" ca="1" si="35"/>
        <v>0</v>
      </c>
      <c r="Y129" s="29">
        <f t="shared" ca="1" si="27"/>
        <v>0</v>
      </c>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row>
    <row r="130" spans="1:80">
      <c r="C130" s="7" t="s">
        <v>520</v>
      </c>
      <c r="E130" s="29">
        <f t="shared" ca="1" si="36"/>
        <v>0</v>
      </c>
      <c r="F130" s="29">
        <f t="shared" ca="1" si="35"/>
        <v>0</v>
      </c>
      <c r="G130" s="29">
        <f t="shared" ca="1" si="35"/>
        <v>0</v>
      </c>
      <c r="H130" s="29">
        <f t="shared" ca="1" si="35"/>
        <v>0</v>
      </c>
      <c r="I130" s="29">
        <f t="shared" ca="1" si="35"/>
        <v>0</v>
      </c>
      <c r="J130" s="29">
        <f t="shared" ca="1" si="35"/>
        <v>0</v>
      </c>
      <c r="K130" s="29">
        <f t="shared" ca="1" si="35"/>
        <v>0</v>
      </c>
      <c r="L130" s="29">
        <f t="shared" ca="1" si="35"/>
        <v>0</v>
      </c>
      <c r="M130" s="29">
        <f t="shared" ca="1" si="35"/>
        <v>0</v>
      </c>
      <c r="N130" s="29">
        <f t="shared" ca="1" si="35"/>
        <v>0</v>
      </c>
      <c r="O130" s="29">
        <f t="shared" ca="1" si="35"/>
        <v>0</v>
      </c>
      <c r="P130" s="29">
        <f t="shared" ca="1" si="35"/>
        <v>0</v>
      </c>
      <c r="Q130" s="29">
        <f t="shared" ca="1" si="35"/>
        <v>0</v>
      </c>
      <c r="R130" s="29">
        <f t="shared" ca="1" si="35"/>
        <v>0</v>
      </c>
      <c r="S130" s="29">
        <f t="shared" ca="1" si="35"/>
        <v>0</v>
      </c>
      <c r="T130" s="29">
        <f t="shared" ca="1" si="35"/>
        <v>0</v>
      </c>
      <c r="U130" s="29">
        <f t="shared" ca="1" si="35"/>
        <v>0</v>
      </c>
      <c r="V130" s="29">
        <f t="shared" ca="1" si="35"/>
        <v>0</v>
      </c>
      <c r="W130" s="29">
        <f t="shared" ca="1" si="35"/>
        <v>0</v>
      </c>
      <c r="X130" s="29">
        <f t="shared" ca="1" si="35"/>
        <v>0</v>
      </c>
      <c r="Y130" s="29">
        <f t="shared" ca="1" si="27"/>
        <v>0</v>
      </c>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1:80">
      <c r="C131" s="7" t="s">
        <v>521</v>
      </c>
      <c r="E131" s="29">
        <f t="shared" ca="1" si="36"/>
        <v>0</v>
      </c>
      <c r="F131" s="29">
        <f t="shared" ca="1" si="35"/>
        <v>0</v>
      </c>
      <c r="G131" s="29">
        <f t="shared" ca="1" si="35"/>
        <v>0</v>
      </c>
      <c r="H131" s="29">
        <f t="shared" ca="1" si="35"/>
        <v>0</v>
      </c>
      <c r="I131" s="29">
        <f t="shared" ca="1" si="35"/>
        <v>0</v>
      </c>
      <c r="J131" s="29">
        <f t="shared" ca="1" si="35"/>
        <v>0</v>
      </c>
      <c r="K131" s="29">
        <f t="shared" ca="1" si="35"/>
        <v>0</v>
      </c>
      <c r="L131" s="29">
        <f t="shared" ca="1" si="35"/>
        <v>0</v>
      </c>
      <c r="M131" s="29">
        <f t="shared" ca="1" si="35"/>
        <v>0</v>
      </c>
      <c r="N131" s="29">
        <f t="shared" ca="1" si="35"/>
        <v>0</v>
      </c>
      <c r="O131" s="29">
        <f t="shared" ca="1" si="35"/>
        <v>0</v>
      </c>
      <c r="P131" s="29">
        <f t="shared" ca="1" si="35"/>
        <v>0</v>
      </c>
      <c r="Q131" s="29">
        <f t="shared" ca="1" si="35"/>
        <v>0</v>
      </c>
      <c r="R131" s="29">
        <f t="shared" ca="1" si="35"/>
        <v>0</v>
      </c>
      <c r="S131" s="29">
        <f t="shared" ca="1" si="35"/>
        <v>0</v>
      </c>
      <c r="T131" s="29">
        <f t="shared" ca="1" si="35"/>
        <v>0</v>
      </c>
      <c r="U131" s="29">
        <f t="shared" ca="1" si="35"/>
        <v>0</v>
      </c>
      <c r="V131" s="29">
        <f t="shared" ca="1" si="35"/>
        <v>0</v>
      </c>
      <c r="W131" s="29">
        <f t="shared" ca="1" si="35"/>
        <v>0</v>
      </c>
      <c r="X131" s="29">
        <f t="shared" ca="1" si="35"/>
        <v>0</v>
      </c>
      <c r="Y131" s="29">
        <f t="shared" ca="1" si="27"/>
        <v>0</v>
      </c>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row>
    <row r="132" spans="1:80">
      <c r="C132" s="7" t="s">
        <v>522</v>
      </c>
      <c r="E132" s="29">
        <f t="shared" ca="1" si="36"/>
        <v>0</v>
      </c>
      <c r="F132" s="29">
        <f t="shared" ca="1" si="35"/>
        <v>0</v>
      </c>
      <c r="G132" s="29">
        <f t="shared" ca="1" si="35"/>
        <v>0</v>
      </c>
      <c r="H132" s="29">
        <f t="shared" ca="1" si="35"/>
        <v>0</v>
      </c>
      <c r="I132" s="29">
        <f t="shared" ca="1" si="35"/>
        <v>0</v>
      </c>
      <c r="J132" s="29">
        <f t="shared" ca="1" si="35"/>
        <v>0</v>
      </c>
      <c r="K132" s="29">
        <f t="shared" ca="1" si="35"/>
        <v>0</v>
      </c>
      <c r="L132" s="29">
        <f t="shared" ca="1" si="35"/>
        <v>0</v>
      </c>
      <c r="M132" s="29">
        <f t="shared" ca="1" si="35"/>
        <v>0</v>
      </c>
      <c r="N132" s="29">
        <f t="shared" ca="1" si="35"/>
        <v>0</v>
      </c>
      <c r="O132" s="29">
        <f t="shared" ca="1" si="35"/>
        <v>0</v>
      </c>
      <c r="P132" s="29">
        <f t="shared" ca="1" si="35"/>
        <v>0</v>
      </c>
      <c r="Q132" s="29">
        <f t="shared" ca="1" si="35"/>
        <v>0</v>
      </c>
      <c r="R132" s="29">
        <f t="shared" ca="1" si="35"/>
        <v>0</v>
      </c>
      <c r="S132" s="29">
        <f t="shared" ca="1" si="35"/>
        <v>0</v>
      </c>
      <c r="T132" s="29">
        <f t="shared" ca="1" si="35"/>
        <v>0</v>
      </c>
      <c r="U132" s="29">
        <f t="shared" ca="1" si="35"/>
        <v>0</v>
      </c>
      <c r="V132" s="29">
        <f t="shared" ca="1" si="35"/>
        <v>0</v>
      </c>
      <c r="W132" s="29">
        <f t="shared" ca="1" si="35"/>
        <v>0</v>
      </c>
      <c r="X132" s="29">
        <f t="shared" ca="1" si="35"/>
        <v>0</v>
      </c>
      <c r="Y132" s="29">
        <f t="shared" ca="1" si="27"/>
        <v>0</v>
      </c>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row>
    <row r="133" spans="1:80">
      <c r="C133" s="7" t="s">
        <v>523</v>
      </c>
      <c r="E133" s="29">
        <f t="shared" ca="1" si="36"/>
        <v>0</v>
      </c>
      <c r="F133" s="29">
        <f t="shared" ca="1" si="35"/>
        <v>0</v>
      </c>
      <c r="G133" s="29">
        <f t="shared" ca="1" si="35"/>
        <v>0</v>
      </c>
      <c r="H133" s="29">
        <f t="shared" ca="1" si="35"/>
        <v>0</v>
      </c>
      <c r="I133" s="29">
        <f t="shared" ca="1" si="35"/>
        <v>0</v>
      </c>
      <c r="J133" s="29">
        <f t="shared" ca="1" si="35"/>
        <v>0</v>
      </c>
      <c r="K133" s="29">
        <f t="shared" ca="1" si="35"/>
        <v>0</v>
      </c>
      <c r="L133" s="29">
        <f t="shared" ca="1" si="35"/>
        <v>0</v>
      </c>
      <c r="M133" s="29">
        <f t="shared" ca="1" si="35"/>
        <v>0</v>
      </c>
      <c r="N133" s="29">
        <f t="shared" ca="1" si="35"/>
        <v>0</v>
      </c>
      <c r="O133" s="29">
        <f t="shared" ca="1" si="35"/>
        <v>0</v>
      </c>
      <c r="P133" s="29">
        <f t="shared" ca="1" si="35"/>
        <v>0</v>
      </c>
      <c r="Q133" s="29">
        <f t="shared" ca="1" si="35"/>
        <v>0</v>
      </c>
      <c r="R133" s="29">
        <f t="shared" ca="1" si="35"/>
        <v>0</v>
      </c>
      <c r="S133" s="29">
        <f t="shared" ca="1" si="35"/>
        <v>0</v>
      </c>
      <c r="T133" s="29">
        <f t="shared" ca="1" si="35"/>
        <v>0</v>
      </c>
      <c r="U133" s="29">
        <f t="shared" ca="1" si="35"/>
        <v>0</v>
      </c>
      <c r="V133" s="29">
        <f t="shared" ca="1" si="35"/>
        <v>0</v>
      </c>
      <c r="W133" s="29">
        <f t="shared" ca="1" si="35"/>
        <v>0</v>
      </c>
      <c r="X133" s="29">
        <f t="shared" ca="1" si="35"/>
        <v>0</v>
      </c>
      <c r="Y133" s="29">
        <f t="shared" ca="1" si="27"/>
        <v>0</v>
      </c>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row>
    <row r="134" spans="1:80">
      <c r="C134" s="7" t="s">
        <v>524</v>
      </c>
      <c r="E134" s="29">
        <f t="shared" ca="1" si="36"/>
        <v>0</v>
      </c>
      <c r="F134" s="29">
        <f t="shared" ca="1" si="35"/>
        <v>0</v>
      </c>
      <c r="G134" s="29">
        <f t="shared" ca="1" si="35"/>
        <v>0</v>
      </c>
      <c r="H134" s="29">
        <f t="shared" ca="1" si="35"/>
        <v>0</v>
      </c>
      <c r="I134" s="29">
        <f t="shared" ca="1" si="35"/>
        <v>0</v>
      </c>
      <c r="J134" s="29">
        <f t="shared" ca="1" si="35"/>
        <v>0</v>
      </c>
      <c r="K134" s="29">
        <f t="shared" ca="1" si="35"/>
        <v>0</v>
      </c>
      <c r="L134" s="29">
        <f t="shared" ca="1" si="35"/>
        <v>0</v>
      </c>
      <c r="M134" s="29">
        <f t="shared" ca="1" si="35"/>
        <v>0</v>
      </c>
      <c r="N134" s="29">
        <f t="shared" ca="1" si="35"/>
        <v>0</v>
      </c>
      <c r="O134" s="29">
        <f t="shared" ca="1" si="35"/>
        <v>0</v>
      </c>
      <c r="P134" s="29">
        <f t="shared" ca="1" si="35"/>
        <v>0</v>
      </c>
      <c r="Q134" s="29">
        <f t="shared" ca="1" si="35"/>
        <v>0</v>
      </c>
      <c r="R134" s="29">
        <f t="shared" ca="1" si="35"/>
        <v>0</v>
      </c>
      <c r="S134" s="29">
        <f t="shared" ca="1" si="35"/>
        <v>0</v>
      </c>
      <c r="T134" s="29">
        <f t="shared" ca="1" si="35"/>
        <v>0</v>
      </c>
      <c r="U134" s="29">
        <f t="shared" ca="1" si="35"/>
        <v>0</v>
      </c>
      <c r="V134" s="29">
        <f t="shared" ca="1" si="35"/>
        <v>0</v>
      </c>
      <c r="W134" s="29">
        <f t="shared" ca="1" si="35"/>
        <v>0</v>
      </c>
      <c r="X134" s="29">
        <f t="shared" ca="1" si="35"/>
        <v>0</v>
      </c>
      <c r="Y134" s="29">
        <f t="shared" ca="1" si="27"/>
        <v>0</v>
      </c>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row>
    <row r="135" spans="1:80">
      <c r="C135" s="7" t="s">
        <v>525</v>
      </c>
      <c r="E135" s="29">
        <f t="shared" ca="1" si="36"/>
        <v>0</v>
      </c>
      <c r="F135" s="29">
        <f t="shared" ca="1" si="35"/>
        <v>0</v>
      </c>
      <c r="G135" s="29">
        <f t="shared" ca="1" si="35"/>
        <v>0</v>
      </c>
      <c r="H135" s="29">
        <f t="shared" ca="1" si="35"/>
        <v>0</v>
      </c>
      <c r="I135" s="29">
        <f t="shared" ca="1" si="35"/>
        <v>0</v>
      </c>
      <c r="J135" s="29">
        <f t="shared" ca="1" si="35"/>
        <v>0</v>
      </c>
      <c r="K135" s="29">
        <f t="shared" ca="1" si="35"/>
        <v>0</v>
      </c>
      <c r="L135" s="29">
        <f t="shared" ca="1" si="35"/>
        <v>0</v>
      </c>
      <c r="M135" s="29">
        <f t="shared" ca="1" si="35"/>
        <v>0</v>
      </c>
      <c r="N135" s="29">
        <f t="shared" ca="1" si="35"/>
        <v>0</v>
      </c>
      <c r="O135" s="29">
        <f t="shared" ca="1" si="35"/>
        <v>0</v>
      </c>
      <c r="P135" s="29">
        <f t="shared" ca="1" si="35"/>
        <v>0</v>
      </c>
      <c r="Q135" s="29">
        <f t="shared" ca="1" si="35"/>
        <v>0</v>
      </c>
      <c r="R135" s="29">
        <f t="shared" ca="1" si="35"/>
        <v>0</v>
      </c>
      <c r="S135" s="29">
        <f t="shared" ca="1" si="35"/>
        <v>0</v>
      </c>
      <c r="T135" s="29">
        <f t="shared" ca="1" si="35"/>
        <v>0</v>
      </c>
      <c r="U135" s="29">
        <f t="shared" ca="1" si="35"/>
        <v>0</v>
      </c>
      <c r="V135" s="29">
        <f t="shared" ca="1" si="35"/>
        <v>0</v>
      </c>
      <c r="W135" s="29">
        <f t="shared" ca="1" si="35"/>
        <v>0</v>
      </c>
      <c r="X135" s="29">
        <f t="shared" ca="1" si="35"/>
        <v>0</v>
      </c>
      <c r="Y135" s="29">
        <f t="shared" ca="1" si="27"/>
        <v>0</v>
      </c>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row>
    <row r="136" spans="1:80">
      <c r="C136" s="7" t="s">
        <v>526</v>
      </c>
      <c r="E136" s="29">
        <f t="shared" ca="1" si="36"/>
        <v>0</v>
      </c>
      <c r="F136" s="29">
        <f t="shared" ca="1" si="35"/>
        <v>0</v>
      </c>
      <c r="G136" s="29">
        <f t="shared" ca="1" si="35"/>
        <v>0</v>
      </c>
      <c r="H136" s="29">
        <f t="shared" ca="1" si="35"/>
        <v>0</v>
      </c>
      <c r="I136" s="29">
        <f t="shared" ca="1" si="35"/>
        <v>0</v>
      </c>
      <c r="J136" s="29">
        <f t="shared" ca="1" si="35"/>
        <v>0</v>
      </c>
      <c r="K136" s="29">
        <f t="shared" ca="1" si="35"/>
        <v>0</v>
      </c>
      <c r="L136" s="29">
        <f t="shared" ca="1" si="35"/>
        <v>0</v>
      </c>
      <c r="M136" s="29">
        <f t="shared" ca="1" si="35"/>
        <v>0</v>
      </c>
      <c r="N136" s="29">
        <f t="shared" ca="1" si="35"/>
        <v>0</v>
      </c>
      <c r="O136" s="29">
        <f t="shared" ca="1" si="35"/>
        <v>0</v>
      </c>
      <c r="P136" s="29">
        <f t="shared" ca="1" si="35"/>
        <v>0</v>
      </c>
      <c r="Q136" s="29">
        <f t="shared" ca="1" si="35"/>
        <v>0</v>
      </c>
      <c r="R136" s="29">
        <f t="shared" ca="1" si="35"/>
        <v>0</v>
      </c>
      <c r="S136" s="29">
        <f t="shared" ca="1" si="35"/>
        <v>0</v>
      </c>
      <c r="T136" s="29">
        <f t="shared" ca="1" si="35"/>
        <v>0</v>
      </c>
      <c r="U136" s="29">
        <f t="shared" ca="1" si="35"/>
        <v>0</v>
      </c>
      <c r="V136" s="29">
        <f t="shared" ca="1" si="35"/>
        <v>0</v>
      </c>
      <c r="W136" s="29">
        <f t="shared" ca="1" si="35"/>
        <v>0</v>
      </c>
      <c r="X136" s="29">
        <f t="shared" ca="1" si="35"/>
        <v>0</v>
      </c>
      <c r="Y136" s="29">
        <f t="shared" ca="1" si="27"/>
        <v>0</v>
      </c>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row>
    <row r="137" spans="1:80">
      <c r="C137" s="7" t="s">
        <v>527</v>
      </c>
      <c r="E137" s="29">
        <f t="shared" ca="1" si="36"/>
        <v>1.6742404701697664E-3</v>
      </c>
      <c r="F137" s="29">
        <f t="shared" ca="1" si="35"/>
        <v>4.131855441433567E-3</v>
      </c>
      <c r="G137" s="29">
        <f t="shared" ca="1" si="35"/>
        <v>8.7545904012587272E-3</v>
      </c>
      <c r="H137" s="29">
        <f t="shared" ca="1" si="35"/>
        <v>1.6704471323831516E-2</v>
      </c>
      <c r="I137" s="29">
        <f t="shared" ca="1" si="35"/>
        <v>2.8649616311668763E-2</v>
      </c>
      <c r="J137" s="29">
        <f t="shared" ca="1" si="35"/>
        <v>4.3941672340213789E-2</v>
      </c>
      <c r="K137" s="29">
        <f t="shared" ca="1" si="35"/>
        <v>6.3382109956636068E-2</v>
      </c>
      <c r="L137" s="29">
        <f t="shared" ca="1" si="35"/>
        <v>8.7023082453794864E-2</v>
      </c>
      <c r="M137" s="29">
        <f t="shared" ca="1" si="35"/>
        <v>0.11173051196274475</v>
      </c>
      <c r="N137" s="29">
        <f t="shared" ca="1" si="35"/>
        <v>0.13947985263327833</v>
      </c>
      <c r="O137" s="29">
        <f t="shared" ca="1" si="35"/>
        <v>0.16465233516835642</v>
      </c>
      <c r="P137" s="29">
        <f t="shared" ca="1" si="35"/>
        <v>0.18372609345978441</v>
      </c>
      <c r="Q137" s="29">
        <f t="shared" ca="1" si="35"/>
        <v>0.19616339247186643</v>
      </c>
      <c r="R137" s="29">
        <f t="shared" ca="1" si="35"/>
        <v>0.20952867472334313</v>
      </c>
      <c r="S137" s="29">
        <f t="shared" ca="1" si="35"/>
        <v>0.22158544228576238</v>
      </c>
      <c r="T137" s="29">
        <f t="shared" ca="1" si="35"/>
        <v>0.227540849802081</v>
      </c>
      <c r="U137" s="29">
        <f t="shared" ca="1" si="35"/>
        <v>0.22501786919365241</v>
      </c>
      <c r="V137" s="29">
        <f t="shared" ca="1" si="35"/>
        <v>0.22747301486992666</v>
      </c>
      <c r="W137" s="29">
        <f t="shared" ca="1" si="35"/>
        <v>0.22972125927326448</v>
      </c>
      <c r="X137" s="29">
        <f t="shared" ca="1" si="35"/>
        <v>0.23216019429024848</v>
      </c>
      <c r="Y137" s="29">
        <f ca="1">SUM(E137:X137)</f>
        <v>2.6230411288333162</v>
      </c>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row>
    <row r="138" spans="1:80">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row>
    <row r="139" spans="1:80" ht="15">
      <c r="C139" s="66" t="s">
        <v>138</v>
      </c>
      <c r="D139" s="67"/>
      <c r="E139" s="67">
        <f t="shared" ref="E139:W139" ca="1" si="37">SUM(E106:E137)</f>
        <v>1.4251069757997992E-2</v>
      </c>
      <c r="F139" s="67">
        <f t="shared" ca="1" si="37"/>
        <v>3.5139757382008321E-2</v>
      </c>
      <c r="G139" s="67">
        <f t="shared" ca="1" si="37"/>
        <v>7.4334852188838382E-2</v>
      </c>
      <c r="H139" s="67">
        <f t="shared" ca="1" si="37"/>
        <v>0.14164626922899012</v>
      </c>
      <c r="I139" s="67">
        <f t="shared" ca="1" si="37"/>
        <v>0.24295383067041365</v>
      </c>
      <c r="J139" s="67">
        <f t="shared" ca="1" si="37"/>
        <v>0.37238902902953092</v>
      </c>
      <c r="K139" s="67">
        <f t="shared" ca="1" si="37"/>
        <v>0.53678726367139717</v>
      </c>
      <c r="L139" s="67">
        <f t="shared" ca="1" si="37"/>
        <v>0.73684186952892405</v>
      </c>
      <c r="M139" s="67">
        <f t="shared" ca="1" si="37"/>
        <v>0.94572400969507975</v>
      </c>
      <c r="N139" s="67">
        <f t="shared" ca="1" si="37"/>
        <v>1.1810325387189176</v>
      </c>
      <c r="O139" s="67">
        <f t="shared" ca="1" si="37"/>
        <v>1.3945424616358875</v>
      </c>
      <c r="P139" s="67">
        <f t="shared" ca="1" si="37"/>
        <v>1.5557000046069021</v>
      </c>
      <c r="Q139" s="67">
        <f t="shared" ca="1" si="37"/>
        <v>1.6600043242015732</v>
      </c>
      <c r="R139" s="67">
        <f t="shared" ca="1" si="37"/>
        <v>1.7731032256976853</v>
      </c>
      <c r="S139" s="67">
        <f t="shared" ca="1" si="37"/>
        <v>1.8755878970401161</v>
      </c>
      <c r="T139" s="67">
        <f t="shared" ca="1" si="37"/>
        <v>1.9258396952169707</v>
      </c>
      <c r="U139" s="67">
        <f t="shared" ca="1" si="37"/>
        <v>1.9031105782901163</v>
      </c>
      <c r="V139" s="67">
        <f t="shared" ca="1" si="37"/>
        <v>1.9237971968982202</v>
      </c>
      <c r="W139" s="67">
        <f t="shared" ca="1" si="37"/>
        <v>1.9429076585095504</v>
      </c>
      <c r="X139" s="67">
        <f ca="1">SUM(X106:X137)</f>
        <v>1.963824646634013</v>
      </c>
      <c r="Y139" s="67"/>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row>
    <row r="140" spans="1:80" ht="15">
      <c r="C140" s="66" t="s">
        <v>139</v>
      </c>
      <c r="D140" s="67"/>
      <c r="E140" s="67">
        <f ca="1">E139</f>
        <v>1.4251069757997992E-2</v>
      </c>
      <c r="F140" s="67">
        <f t="shared" ref="F140:X140" ca="1" si="38">E140+F139</f>
        <v>4.939082714000631E-2</v>
      </c>
      <c r="G140" s="67">
        <f t="shared" ca="1" si="38"/>
        <v>0.12372567932884469</v>
      </c>
      <c r="H140" s="67">
        <f t="shared" ca="1" si="38"/>
        <v>0.2653719485578348</v>
      </c>
      <c r="I140" s="67">
        <f t="shared" ca="1" si="38"/>
        <v>0.50832577922824851</v>
      </c>
      <c r="J140" s="67">
        <f t="shared" ca="1" si="38"/>
        <v>0.88071480825777937</v>
      </c>
      <c r="K140" s="67">
        <f t="shared" ca="1" si="38"/>
        <v>1.4175020719291767</v>
      </c>
      <c r="L140" s="67">
        <f t="shared" ca="1" si="38"/>
        <v>2.1543439414581007</v>
      </c>
      <c r="M140" s="67">
        <f t="shared" ca="1" si="38"/>
        <v>3.1000679511531803</v>
      </c>
      <c r="N140" s="67">
        <f t="shared" ca="1" si="38"/>
        <v>4.2811004898720979</v>
      </c>
      <c r="O140" s="67">
        <f t="shared" ca="1" si="38"/>
        <v>5.6756429515079851</v>
      </c>
      <c r="P140" s="67">
        <f t="shared" ca="1" si="38"/>
        <v>7.2313429561148874</v>
      </c>
      <c r="Q140" s="67">
        <f t="shared" ca="1" si="38"/>
        <v>8.8913472803164613</v>
      </c>
      <c r="R140" s="67">
        <f t="shared" ca="1" si="38"/>
        <v>10.664450506014147</v>
      </c>
      <c r="S140" s="67">
        <f t="shared" ca="1" si="38"/>
        <v>12.540038403054263</v>
      </c>
      <c r="T140" s="67">
        <f t="shared" ca="1" si="38"/>
        <v>14.465878098271233</v>
      </c>
      <c r="U140" s="67">
        <f t="shared" ca="1" si="38"/>
        <v>16.368988676561351</v>
      </c>
      <c r="V140" s="67">
        <f t="shared" ca="1" si="38"/>
        <v>18.292785873459572</v>
      </c>
      <c r="W140" s="67">
        <f t="shared" ca="1" si="38"/>
        <v>20.235693531969122</v>
      </c>
      <c r="X140" s="67">
        <f t="shared" ca="1" si="38"/>
        <v>22.199518178603135</v>
      </c>
      <c r="Y140" s="67">
        <f ca="1">SUM(Y106:Y137)</f>
        <v>22.199518178603128</v>
      </c>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row>
    <row r="143" spans="1:80">
      <c r="A143" s="7" t="s">
        <v>143</v>
      </c>
    </row>
    <row r="145" spans="1:27">
      <c r="E145" s="35"/>
      <c r="F145" s="35"/>
      <c r="G145" s="35"/>
      <c r="H145" s="35"/>
      <c r="I145" s="35"/>
      <c r="J145" s="35"/>
      <c r="K145" s="35"/>
      <c r="L145" s="35"/>
      <c r="M145" s="35"/>
      <c r="N145" s="35"/>
      <c r="O145" s="35"/>
      <c r="P145" s="35"/>
      <c r="Q145" s="35"/>
      <c r="R145" s="35"/>
      <c r="S145" s="35"/>
      <c r="T145" s="35"/>
      <c r="U145" s="35"/>
      <c r="V145" s="35"/>
      <c r="W145" s="35"/>
      <c r="X145" s="35"/>
      <c r="Y145" s="35"/>
    </row>
    <row r="146" spans="1:27">
      <c r="E146" s="35"/>
      <c r="F146" s="35"/>
      <c r="G146" s="35"/>
      <c r="H146" s="35"/>
      <c r="I146" s="35"/>
      <c r="J146" s="35"/>
      <c r="K146" s="35"/>
      <c r="L146" s="35"/>
      <c r="M146" s="35"/>
      <c r="N146" s="35"/>
      <c r="O146" s="35"/>
      <c r="P146" s="35"/>
      <c r="Q146" s="35"/>
      <c r="R146" s="35"/>
      <c r="S146" s="35"/>
      <c r="T146" s="35"/>
      <c r="U146" s="35"/>
      <c r="V146" s="35"/>
      <c r="W146" s="35"/>
      <c r="X146" s="35"/>
      <c r="Y146" s="35"/>
    </row>
    <row r="147" spans="1:27" ht="15">
      <c r="A147" s="56" t="s">
        <v>144</v>
      </c>
      <c r="E147" s="35"/>
      <c r="F147" s="35"/>
      <c r="G147" s="35"/>
      <c r="H147" s="35"/>
      <c r="I147" s="35"/>
      <c r="J147" s="35"/>
      <c r="K147" s="35"/>
      <c r="L147" s="35"/>
      <c r="M147" s="35"/>
      <c r="N147" s="35"/>
      <c r="O147" s="35"/>
      <c r="P147" s="35"/>
      <c r="Q147" s="35"/>
      <c r="R147" s="35"/>
      <c r="S147" s="35"/>
      <c r="T147" s="35"/>
      <c r="U147" s="35"/>
      <c r="V147" s="35"/>
      <c r="W147" s="35"/>
      <c r="X147" s="35"/>
      <c r="Y147" s="35"/>
    </row>
    <row r="148" spans="1:27">
      <c r="A148" s="7" t="s">
        <v>145</v>
      </c>
      <c r="C148"/>
      <c r="D148"/>
      <c r="E148" s="7" t="s">
        <v>146</v>
      </c>
    </row>
    <row r="149" spans="1:27" ht="15">
      <c r="C149" s="47"/>
      <c r="D149" s="47"/>
      <c r="E149" s="65">
        <f>E11</f>
        <v>2016</v>
      </c>
      <c r="F149" s="65">
        <f t="shared" ref="F149:X149" si="39">F11</f>
        <v>2017</v>
      </c>
      <c r="G149" s="65">
        <f t="shared" si="39"/>
        <v>2018</v>
      </c>
      <c r="H149" s="65">
        <f t="shared" si="39"/>
        <v>2019</v>
      </c>
      <c r="I149" s="65">
        <f t="shared" si="39"/>
        <v>2020</v>
      </c>
      <c r="J149" s="65">
        <f t="shared" si="39"/>
        <v>2021</v>
      </c>
      <c r="K149" s="65">
        <f t="shared" si="39"/>
        <v>2022</v>
      </c>
      <c r="L149" s="65">
        <f t="shared" si="39"/>
        <v>2023</v>
      </c>
      <c r="M149" s="65">
        <f t="shared" si="39"/>
        <v>2024</v>
      </c>
      <c r="N149" s="65">
        <f t="shared" si="39"/>
        <v>2025</v>
      </c>
      <c r="O149" s="65">
        <f t="shared" si="39"/>
        <v>2026</v>
      </c>
      <c r="P149" s="65">
        <f t="shared" si="39"/>
        <v>2027</v>
      </c>
      <c r="Q149" s="65">
        <f t="shared" si="39"/>
        <v>2028</v>
      </c>
      <c r="R149" s="65">
        <f t="shared" si="39"/>
        <v>2029</v>
      </c>
      <c r="S149" s="65">
        <f t="shared" si="39"/>
        <v>2030</v>
      </c>
      <c r="T149" s="65">
        <f t="shared" si="39"/>
        <v>2031</v>
      </c>
      <c r="U149" s="65">
        <f t="shared" si="39"/>
        <v>2032</v>
      </c>
      <c r="V149" s="65">
        <f t="shared" si="39"/>
        <v>2033</v>
      </c>
      <c r="W149" s="65">
        <f t="shared" si="39"/>
        <v>2034</v>
      </c>
      <c r="X149" s="65">
        <f t="shared" si="39"/>
        <v>2035</v>
      </c>
      <c r="Y149" s="65"/>
    </row>
    <row r="150" spans="1:27">
      <c r="C150" s="7" t="str">
        <f>C13</f>
        <v>Single Family</v>
      </c>
      <c r="E150" s="35">
        <f ca="1">(E13-E29/$B21)</f>
        <v>62406.013582636013</v>
      </c>
      <c r="F150" s="35">
        <f t="shared" ref="F150:X150" ca="1" si="40">(F13-F29/$B21)</f>
        <v>59273.566359539567</v>
      </c>
      <c r="G150" s="35">
        <f t="shared" ca="1" si="40"/>
        <v>55384.32758604522</v>
      </c>
      <c r="H150" s="35">
        <f t="shared" ca="1" si="40"/>
        <v>52232.66386890439</v>
      </c>
      <c r="I150" s="35">
        <f t="shared" ca="1" si="40"/>
        <v>48785.351078899766</v>
      </c>
      <c r="J150" s="35">
        <f t="shared" ca="1" si="40"/>
        <v>43756.837328899885</v>
      </c>
      <c r="K150" s="35">
        <f t="shared" ca="1" si="40"/>
        <v>39165.00592494099</v>
      </c>
      <c r="L150" s="35">
        <f t="shared" ca="1" si="40"/>
        <v>35061.558410100886</v>
      </c>
      <c r="M150" s="35">
        <f t="shared" ca="1" si="40"/>
        <v>30526.142789804955</v>
      </c>
      <c r="N150" s="35">
        <f t="shared" ca="1" si="40"/>
        <v>26820.658084480372</v>
      </c>
      <c r="O150" s="35">
        <f t="shared" ca="1" si="40"/>
        <v>23015.482730760672</v>
      </c>
      <c r="P150" s="35">
        <f t="shared" ca="1" si="40"/>
        <v>19271.443097031643</v>
      </c>
      <c r="Q150" s="35">
        <f t="shared" ca="1" si="40"/>
        <v>15996.16498352405</v>
      </c>
      <c r="R150" s="35">
        <f t="shared" ca="1" si="40"/>
        <v>13860.137413471173</v>
      </c>
      <c r="S150" s="35">
        <f t="shared" ca="1" si="40"/>
        <v>12417.237449078639</v>
      </c>
      <c r="T150" s="35">
        <f t="shared" ca="1" si="40"/>
        <v>11245.835668063926</v>
      </c>
      <c r="U150" s="35">
        <f t="shared" ca="1" si="40"/>
        <v>10152.856360615137</v>
      </c>
      <c r="V150" s="35">
        <f t="shared" ca="1" si="40"/>
        <v>9677.4772558149853</v>
      </c>
      <c r="W150" s="35">
        <f t="shared" ca="1" si="40"/>
        <v>9422.560439697816</v>
      </c>
      <c r="X150" s="35">
        <f t="shared" ca="1" si="40"/>
        <v>9322.3843281948648</v>
      </c>
      <c r="Y150" s="35"/>
      <c r="AA150" s="35">
        <f t="shared" ref="AA150:AA151" ca="1" si="41">SUM(E150:Y150)</f>
        <v>587793.70474050485</v>
      </c>
    </row>
    <row r="151" spans="1:27">
      <c r="C151" s="7" t="str">
        <f>C14</f>
        <v>Manufactured</v>
      </c>
      <c r="E151" s="35">
        <f t="shared" ref="E151:X151" ca="1" si="42">(E14-E30/$B22)</f>
        <v>1861.2237684685269</v>
      </c>
      <c r="F151" s="35">
        <f t="shared" ca="1" si="42"/>
        <v>1860.1762652648233</v>
      </c>
      <c r="G151" s="35">
        <f t="shared" ca="1" si="42"/>
        <v>1899.3670342047915</v>
      </c>
      <c r="H151" s="35">
        <f t="shared" ca="1" si="42"/>
        <v>1919.915078942453</v>
      </c>
      <c r="I151" s="35">
        <f t="shared" ca="1" si="42"/>
        <v>1786.4034135238016</v>
      </c>
      <c r="J151" s="35">
        <f t="shared" ca="1" si="42"/>
        <v>1654.9836078895921</v>
      </c>
      <c r="K151" s="35">
        <f t="shared" ca="1" si="42"/>
        <v>1528.6560224674224</v>
      </c>
      <c r="L151" s="35">
        <f t="shared" ca="1" si="42"/>
        <v>1382.6223481431521</v>
      </c>
      <c r="M151" s="35">
        <f t="shared" ca="1" si="42"/>
        <v>1222.7564139609885</v>
      </c>
      <c r="N151" s="35">
        <f t="shared" ca="1" si="42"/>
        <v>1055.9692805946638</v>
      </c>
      <c r="O151" s="35">
        <f t="shared" ca="1" si="42"/>
        <v>894.72432793127655</v>
      </c>
      <c r="P151" s="35">
        <f t="shared" ca="1" si="42"/>
        <v>757.82486030898667</v>
      </c>
      <c r="Q151" s="35">
        <f t="shared" ca="1" si="42"/>
        <v>646.77735929324604</v>
      </c>
      <c r="R151" s="35">
        <f t="shared" ca="1" si="42"/>
        <v>560.19000713116316</v>
      </c>
      <c r="S151" s="35">
        <f t="shared" ca="1" si="42"/>
        <v>496.03919347157762</v>
      </c>
      <c r="T151" s="35">
        <f t="shared" ca="1" si="42"/>
        <v>450.77039060701941</v>
      </c>
      <c r="U151" s="35">
        <f t="shared" ca="1" si="42"/>
        <v>420.46780945802038</v>
      </c>
      <c r="V151" s="35">
        <f t="shared" ca="1" si="42"/>
        <v>401.42363619793946</v>
      </c>
      <c r="W151" s="35">
        <f t="shared" ca="1" si="42"/>
        <v>389.92176337652177</v>
      </c>
      <c r="X151" s="35">
        <f t="shared" ca="1" si="42"/>
        <v>383.18643436649245</v>
      </c>
      <c r="Y151" s="35"/>
      <c r="AA151" s="35">
        <f t="shared" ca="1" si="41"/>
        <v>21573.399015602459</v>
      </c>
    </row>
    <row r="152" spans="1:27">
      <c r="E152" s="35"/>
      <c r="F152" s="35"/>
      <c r="G152" s="35"/>
      <c r="H152" s="35"/>
      <c r="I152" s="35"/>
      <c r="J152" s="35"/>
      <c r="K152" s="35"/>
      <c r="L152" s="35"/>
      <c r="M152" s="35"/>
      <c r="N152" s="35"/>
      <c r="O152" s="35"/>
      <c r="P152" s="35"/>
      <c r="Q152" s="35"/>
      <c r="R152" s="35"/>
      <c r="S152" s="35"/>
      <c r="T152" s="35"/>
      <c r="U152" s="35"/>
      <c r="V152" s="35"/>
      <c r="W152" s="35"/>
      <c r="X152" s="35"/>
      <c r="Y152" s="35"/>
    </row>
    <row r="153" spans="1:27">
      <c r="C153" s="7" t="s">
        <v>147</v>
      </c>
      <c r="E153" s="35">
        <f t="shared" ref="E153:X153" ca="1" si="43">SUM(E150:E151)</f>
        <v>64267.237351104537</v>
      </c>
      <c r="F153" s="35">
        <f t="shared" ca="1" si="43"/>
        <v>61133.742624804392</v>
      </c>
      <c r="G153" s="35">
        <f t="shared" ca="1" si="43"/>
        <v>57283.694620250011</v>
      </c>
      <c r="H153" s="35">
        <f t="shared" ca="1" si="43"/>
        <v>54152.578947846843</v>
      </c>
      <c r="I153" s="35">
        <f t="shared" ca="1" si="43"/>
        <v>50571.75449242357</v>
      </c>
      <c r="J153" s="35">
        <f t="shared" ca="1" si="43"/>
        <v>45411.820936789474</v>
      </c>
      <c r="K153" s="35">
        <f t="shared" ca="1" si="43"/>
        <v>40693.661947408415</v>
      </c>
      <c r="L153" s="35">
        <f t="shared" ca="1" si="43"/>
        <v>36444.180758244038</v>
      </c>
      <c r="M153" s="35">
        <f t="shared" ca="1" si="43"/>
        <v>31748.899203765945</v>
      </c>
      <c r="N153" s="35">
        <f t="shared" ca="1" si="43"/>
        <v>27876.627365075037</v>
      </c>
      <c r="O153" s="35">
        <f t="shared" ca="1" si="43"/>
        <v>23910.207058691947</v>
      </c>
      <c r="P153" s="35">
        <f t="shared" ca="1" si="43"/>
        <v>20029.267957340628</v>
      </c>
      <c r="Q153" s="35">
        <f t="shared" ca="1" si="43"/>
        <v>16642.942342817296</v>
      </c>
      <c r="R153" s="35">
        <f t="shared" ca="1" si="43"/>
        <v>14420.327420602336</v>
      </c>
      <c r="S153" s="35">
        <f t="shared" ca="1" si="43"/>
        <v>12913.276642550216</v>
      </c>
      <c r="T153" s="35">
        <f t="shared" ca="1" si="43"/>
        <v>11696.606058670946</v>
      </c>
      <c r="U153" s="35">
        <f t="shared" ca="1" si="43"/>
        <v>10573.324170073156</v>
      </c>
      <c r="V153" s="35">
        <f t="shared" ca="1" si="43"/>
        <v>10078.900892012925</v>
      </c>
      <c r="W153" s="35">
        <f t="shared" ca="1" si="43"/>
        <v>9812.482203074338</v>
      </c>
      <c r="X153" s="35">
        <f t="shared" ca="1" si="43"/>
        <v>9705.5707625613577</v>
      </c>
      <c r="Y153" s="35"/>
      <c r="AA153" s="35">
        <f ca="1">SUM(E153:Y153)</f>
        <v>609367.10375610739</v>
      </c>
    </row>
  </sheetData>
  <mergeCells count="1">
    <mergeCell ref="B1:T6"/>
  </mergeCells>
  <pageMargins left="0.75" right="0.75" top="1" bottom="1" header="0.5" footer="0.5"/>
  <headerFooter alignWithMargins="0"/>
  <drawing r:id="rId1"/>
  <legacyDrawing r:id="rId2"/>
</worksheet>
</file>

<file path=xl/worksheets/sheet4.xml><?xml version="1.0" encoding="utf-8"?>
<worksheet xmlns="http://schemas.openxmlformats.org/spreadsheetml/2006/main" xmlns:r="http://schemas.openxmlformats.org/officeDocument/2006/relationships">
  <sheetPr codeName="Sheet4"/>
  <dimension ref="A1:CB229"/>
  <sheetViews>
    <sheetView tabSelected="1" topLeftCell="B2" zoomScaleNormal="100" workbookViewId="0">
      <selection activeCell="D13" sqref="D13"/>
    </sheetView>
  </sheetViews>
  <sheetFormatPr defaultRowHeight="12.75"/>
  <cols>
    <col min="1" max="1" width="35" style="7" customWidth="1"/>
    <col min="2" max="3" width="20.7109375" style="7" customWidth="1"/>
    <col min="4" max="4" width="29.140625" style="7" customWidth="1"/>
    <col min="5" max="5" width="19.85546875" style="7" customWidth="1"/>
    <col min="6" max="6" width="9.28515625" style="7" bestFit="1" customWidth="1"/>
    <col min="7" max="29" width="9.140625" style="7"/>
    <col min="30" max="30" width="21.7109375" style="7" customWidth="1"/>
    <col min="31" max="31" width="35.85546875" style="7" customWidth="1"/>
    <col min="32" max="32" width="35.28515625" style="7" customWidth="1"/>
    <col min="33" max="33" width="15" style="7" customWidth="1"/>
    <col min="34" max="34" width="17.7109375" style="7" customWidth="1"/>
    <col min="35" max="35" width="15.140625" style="7" customWidth="1"/>
    <col min="36" max="36" width="15.7109375" style="7" customWidth="1"/>
    <col min="37" max="37" width="21.28515625" style="7" customWidth="1"/>
    <col min="38" max="38" width="17.7109375" style="7" bestFit="1" customWidth="1"/>
    <col min="39" max="39" width="15.42578125" style="7" bestFit="1" customWidth="1"/>
    <col min="40" max="40" width="14.28515625" style="7" bestFit="1" customWidth="1"/>
    <col min="41" max="41" width="14.28515625" style="7" customWidth="1"/>
    <col min="42" max="42" width="12.5703125" style="7" customWidth="1"/>
    <col min="43" max="43" width="14" style="7" bestFit="1" customWidth="1"/>
    <col min="44" max="45" width="10.85546875" style="7" bestFit="1" customWidth="1"/>
    <col min="46" max="46" width="13.42578125" style="7" customWidth="1"/>
    <col min="47" max="47" width="11.85546875" style="7" bestFit="1" customWidth="1"/>
    <col min="48" max="48" width="11" style="7" bestFit="1" customWidth="1"/>
    <col min="49" max="49" width="14.28515625" style="7" bestFit="1" customWidth="1"/>
    <col min="50" max="50" width="10.7109375" style="7" customWidth="1"/>
    <col min="51" max="51" width="13.85546875" style="7" bestFit="1" customWidth="1"/>
    <col min="52" max="52" width="11.7109375" style="7" bestFit="1" customWidth="1"/>
    <col min="53" max="53" width="15.28515625" style="7" bestFit="1" customWidth="1"/>
    <col min="54" max="56" width="12.28515625" style="7" bestFit="1" customWidth="1"/>
    <col min="57" max="57" width="12.5703125" style="7" bestFit="1" customWidth="1"/>
    <col min="58" max="60" width="14.28515625" style="7" bestFit="1" customWidth="1"/>
    <col min="61" max="61" width="13.7109375" style="7" bestFit="1" customWidth="1"/>
    <col min="62" max="62" width="14" style="7" bestFit="1" customWidth="1"/>
    <col min="63" max="63" width="12.85546875" style="7" bestFit="1" customWidth="1"/>
    <col min="64" max="64" width="15.28515625" style="7" bestFit="1" customWidth="1"/>
    <col min="65" max="65" width="12.28515625" style="7" bestFit="1" customWidth="1"/>
    <col min="66" max="66" width="10.85546875" style="7" bestFit="1" customWidth="1"/>
    <col min="67" max="67" width="12.28515625" style="7" bestFit="1" customWidth="1"/>
    <col min="68" max="68" width="12.5703125" style="7" bestFit="1" customWidth="1"/>
    <col min="69" max="16384" width="9.140625" style="7"/>
  </cols>
  <sheetData>
    <row r="1" spans="1:68" ht="12.75" customHeight="1">
      <c r="A1" s="45" t="s">
        <v>57</v>
      </c>
      <c r="B1" s="206" t="s">
        <v>455</v>
      </c>
      <c r="C1" s="206"/>
      <c r="D1" s="206"/>
      <c r="E1" s="206"/>
      <c r="F1" s="206"/>
      <c r="G1" s="206"/>
      <c r="H1" s="206"/>
      <c r="I1" s="206"/>
      <c r="J1" s="206"/>
      <c r="K1" s="206"/>
      <c r="L1" s="206"/>
      <c r="M1" s="206"/>
      <c r="N1" s="206"/>
      <c r="O1" s="206"/>
      <c r="P1" s="206"/>
      <c r="Q1" s="206"/>
      <c r="R1" s="206"/>
      <c r="S1" s="206"/>
      <c r="T1" s="206"/>
      <c r="U1" s="206"/>
      <c r="V1" s="54"/>
      <c r="W1" s="54"/>
      <c r="X1" s="54"/>
      <c r="Y1" s="54"/>
      <c r="Z1" s="54"/>
    </row>
    <row r="2" spans="1:68" ht="12.75" customHeight="1">
      <c r="A2" s="46" t="s">
        <v>148</v>
      </c>
      <c r="B2" s="206"/>
      <c r="C2" s="206"/>
      <c r="D2" s="206"/>
      <c r="E2" s="206"/>
      <c r="F2" s="206"/>
      <c r="G2" s="206"/>
      <c r="H2" s="206"/>
      <c r="I2" s="206"/>
      <c r="J2" s="206"/>
      <c r="K2" s="206"/>
      <c r="L2" s="206"/>
      <c r="M2" s="206"/>
      <c r="N2" s="206"/>
      <c r="O2" s="206"/>
      <c r="P2" s="206"/>
      <c r="Q2" s="206"/>
      <c r="R2" s="206"/>
      <c r="S2" s="206"/>
      <c r="T2" s="206"/>
      <c r="U2" s="206"/>
      <c r="V2" s="53"/>
      <c r="W2" s="53"/>
      <c r="X2" s="53"/>
      <c r="Y2" s="53"/>
    </row>
    <row r="3" spans="1:68">
      <c r="B3" s="206"/>
      <c r="C3" s="206"/>
      <c r="D3" s="206"/>
      <c r="E3" s="206"/>
      <c r="F3" s="206"/>
      <c r="G3" s="206"/>
      <c r="H3" s="206"/>
      <c r="I3" s="206"/>
      <c r="J3" s="206"/>
      <c r="K3" s="206"/>
      <c r="L3" s="206"/>
      <c r="M3" s="206"/>
      <c r="N3" s="206"/>
      <c r="O3" s="206"/>
      <c r="P3" s="206"/>
      <c r="Q3" s="206"/>
      <c r="R3" s="206"/>
      <c r="S3" s="206"/>
      <c r="T3" s="206"/>
      <c r="U3" s="206"/>
      <c r="V3" s="53"/>
      <c r="W3" s="53"/>
      <c r="X3" s="53"/>
      <c r="Y3" s="53"/>
      <c r="Z3" s="53"/>
    </row>
    <row r="4" spans="1:68">
      <c r="B4" s="206"/>
      <c r="C4" s="206"/>
      <c r="D4" s="206"/>
      <c r="E4" s="206"/>
      <c r="F4" s="206"/>
      <c r="G4" s="206"/>
      <c r="H4" s="206"/>
      <c r="I4" s="206"/>
      <c r="J4" s="206"/>
      <c r="K4" s="206"/>
      <c r="L4" s="206"/>
      <c r="M4" s="206"/>
      <c r="N4" s="206"/>
      <c r="O4" s="206"/>
      <c r="P4" s="206"/>
      <c r="Q4" s="206"/>
      <c r="R4" s="206"/>
      <c r="S4" s="206"/>
      <c r="T4" s="206"/>
      <c r="U4" s="206"/>
      <c r="V4" s="53"/>
      <c r="W4" s="53"/>
      <c r="X4" s="53"/>
      <c r="Y4" s="53"/>
      <c r="Z4" s="53"/>
    </row>
    <row r="5" spans="1:68">
      <c r="B5" s="206"/>
      <c r="C5" s="206"/>
      <c r="D5" s="206"/>
      <c r="E5" s="206"/>
      <c r="F5" s="206"/>
      <c r="G5" s="206"/>
      <c r="H5" s="206"/>
      <c r="I5" s="206"/>
      <c r="J5" s="206"/>
      <c r="K5" s="206"/>
      <c r="L5" s="206"/>
      <c r="M5" s="206"/>
      <c r="N5" s="206"/>
      <c r="O5" s="206"/>
      <c r="P5" s="206"/>
      <c r="Q5" s="206"/>
      <c r="R5" s="206"/>
      <c r="S5" s="206"/>
      <c r="T5" s="206"/>
      <c r="U5" s="206"/>
      <c r="V5" s="53"/>
      <c r="W5" s="53"/>
      <c r="X5" s="53"/>
      <c r="Y5" s="53"/>
      <c r="Z5" s="53"/>
    </row>
    <row r="6" spans="1:68">
      <c r="B6" s="206"/>
      <c r="C6" s="206"/>
      <c r="D6" s="206"/>
      <c r="E6" s="206"/>
      <c r="F6" s="206"/>
      <c r="G6" s="206"/>
      <c r="H6" s="206"/>
      <c r="I6" s="206"/>
      <c r="J6" s="206"/>
      <c r="K6" s="206"/>
      <c r="L6" s="206"/>
      <c r="M6" s="206"/>
      <c r="N6" s="206"/>
      <c r="O6" s="206"/>
      <c r="P6" s="206"/>
      <c r="Q6" s="206"/>
      <c r="R6" s="206"/>
      <c r="S6" s="206"/>
      <c r="T6" s="206"/>
      <c r="U6" s="206"/>
      <c r="V6" s="53"/>
      <c r="W6" s="53"/>
      <c r="X6" s="53"/>
      <c r="Y6" s="53"/>
      <c r="Z6" s="53"/>
    </row>
    <row r="7" spans="1:68">
      <c r="A7" s="203"/>
      <c r="B7" s="203" t="s">
        <v>49</v>
      </c>
      <c r="C7" s="52" t="s">
        <v>456</v>
      </c>
      <c r="D7" s="52" t="s">
        <v>174</v>
      </c>
    </row>
    <row r="8" spans="1:68">
      <c r="A8" s="203" t="s">
        <v>583</v>
      </c>
      <c r="B8" s="203" t="s">
        <v>58</v>
      </c>
      <c r="C8" s="52" t="str">
        <f>[2]MLIST!$B$20</f>
        <v>HPWH</v>
      </c>
      <c r="D8" s="52" t="str">
        <f>[1]!switch_ForecastState</f>
        <v>Region</v>
      </c>
      <c r="F8"/>
    </row>
    <row r="9" spans="1:68">
      <c r="A9" s="203" t="str">
        <f>INDEX([2]ACHIEV!$A$19:$B$100,MATCH(CONCATENATE($C$8," - ",$C$7),[2]ACHIEV!$B$19:$B$100,0),1)</f>
        <v>Water Heating</v>
      </c>
      <c r="B9" s="204" t="s">
        <v>59</v>
      </c>
      <c r="C9" s="52">
        <f>[2]FILES!$H$4</f>
        <v>2035</v>
      </c>
      <c r="D9" s="52" t="str">
        <f>[1]!switch_ForecastScenario</f>
        <v>Base</v>
      </c>
    </row>
    <row r="10" spans="1:68">
      <c r="A10" s="203"/>
      <c r="B10" s="203" t="s">
        <v>588</v>
      </c>
      <c r="C10" s="205">
        <f ca="1">MIN(SUM(E92:X92),Y92)</f>
        <v>266.36862228974621</v>
      </c>
      <c r="D10" s="55"/>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6" t="s">
        <v>457</v>
      </c>
      <c r="E11" s="59">
        <v>2016</v>
      </c>
      <c r="F11" s="60">
        <v>2017</v>
      </c>
      <c r="G11" s="60">
        <v>2018</v>
      </c>
      <c r="H11" s="60">
        <v>2019</v>
      </c>
      <c r="I11" s="60">
        <v>2020</v>
      </c>
      <c r="J11" s="60">
        <v>2021</v>
      </c>
      <c r="K11" s="60">
        <v>2022</v>
      </c>
      <c r="L11" s="60">
        <v>2023</v>
      </c>
      <c r="M11" s="60">
        <v>2024</v>
      </c>
      <c r="N11" s="60">
        <v>2025</v>
      </c>
      <c r="O11" s="60">
        <v>2026</v>
      </c>
      <c r="P11" s="60">
        <v>2027</v>
      </c>
      <c r="Q11" s="60">
        <v>2028</v>
      </c>
      <c r="R11" s="60">
        <v>2029</v>
      </c>
      <c r="S11" s="60">
        <v>2030</v>
      </c>
      <c r="T11" s="60">
        <v>2031</v>
      </c>
      <c r="U11" s="60">
        <v>2032</v>
      </c>
      <c r="V11" s="60">
        <v>2033</v>
      </c>
      <c r="W11" s="60">
        <v>2034</v>
      </c>
      <c r="X11" s="60">
        <v>2035</v>
      </c>
      <c r="Y11" s="61"/>
      <c r="Z11"/>
    </row>
    <row r="12" spans="1:68" ht="15">
      <c r="E12" s="62" t="str">
        <f>CONCATENATE("HOMES_",E11)</f>
        <v>HOMES_2016</v>
      </c>
      <c r="F12" s="63" t="str">
        <f t="shared" ref="F12:X12" si="0">CONCATENATE("HOMES_",F11)</f>
        <v>HOMES_2017</v>
      </c>
      <c r="G12" s="63" t="str">
        <f t="shared" si="0"/>
        <v>HOMES_2018</v>
      </c>
      <c r="H12" s="63" t="str">
        <f t="shared" si="0"/>
        <v>HOMES_2019</v>
      </c>
      <c r="I12" s="63" t="str">
        <f t="shared" si="0"/>
        <v>HOMES_2020</v>
      </c>
      <c r="J12" s="63" t="str">
        <f t="shared" si="0"/>
        <v>HOMES_2021</v>
      </c>
      <c r="K12" s="63" t="str">
        <f t="shared" si="0"/>
        <v>HOMES_2022</v>
      </c>
      <c r="L12" s="63" t="str">
        <f t="shared" si="0"/>
        <v>HOMES_2023</v>
      </c>
      <c r="M12" s="63" t="str">
        <f t="shared" si="0"/>
        <v>HOMES_2024</v>
      </c>
      <c r="N12" s="63" t="str">
        <f t="shared" si="0"/>
        <v>HOMES_2025</v>
      </c>
      <c r="O12" s="63" t="str">
        <f t="shared" si="0"/>
        <v>HOMES_2026</v>
      </c>
      <c r="P12" s="63" t="str">
        <f t="shared" si="0"/>
        <v>HOMES_2027</v>
      </c>
      <c r="Q12" s="63" t="str">
        <f t="shared" si="0"/>
        <v>HOMES_2028</v>
      </c>
      <c r="R12" s="63" t="str">
        <f t="shared" si="0"/>
        <v>HOMES_2029</v>
      </c>
      <c r="S12" s="63" t="str">
        <f t="shared" si="0"/>
        <v>HOMES_2030</v>
      </c>
      <c r="T12" s="63" t="str">
        <f t="shared" si="0"/>
        <v>HOMES_2031</v>
      </c>
      <c r="U12" s="63" t="str">
        <f t="shared" si="0"/>
        <v>HOMES_2032</v>
      </c>
      <c r="V12" s="63" t="str">
        <f t="shared" si="0"/>
        <v>HOMES_2033</v>
      </c>
      <c r="W12" s="63" t="str">
        <f t="shared" si="0"/>
        <v>HOMES_2034</v>
      </c>
      <c r="X12" s="63" t="str">
        <f t="shared" si="0"/>
        <v>HOMES_2035</v>
      </c>
      <c r="Y12" s="64"/>
      <c r="Z12"/>
    </row>
    <row r="13" spans="1:68">
      <c r="C13" s="7" t="s">
        <v>50</v>
      </c>
      <c r="E13" s="35">
        <f ca="1">INDEX([1]!tbl_Forecast,MATCH($D$8&amp;$C13&amp;$D$7,[1]!rng_ForecastRowLookup,0),MATCH(E$11,[1]!rng_ForecastColumnLookup,0))</f>
        <v>4203528.2719999999</v>
      </c>
      <c r="F13" s="35">
        <f ca="1">INDEX([1]!tbl_Forecast,MATCH($D$8&amp;$C13&amp;$D$7,[1]!rng_ForecastRowLookup,0),MATCH(F$11,[1]!rng_ForecastColumnLookup,0))</f>
        <v>4193982.9785983553</v>
      </c>
      <c r="G13" s="35">
        <f ca="1">INDEX([1]!tbl_Forecast,MATCH($D$8&amp;$C13&amp;$D$7,[1]!rng_ForecastRowLookup,0),MATCH(G$11,[1]!rng_ForecastColumnLookup,0))</f>
        <v>4184459.3604704877</v>
      </c>
      <c r="H13" s="35">
        <f ca="1">INDEX([1]!tbl_Forecast,MATCH($D$8&amp;$C13&amp;$D$7,[1]!rng_ForecastRowLookup,0),MATCH(H$11,[1]!rng_ForecastColumnLookup,0))</f>
        <v>4174957.36839659</v>
      </c>
      <c r="I13" s="35">
        <f ca="1">INDEX([1]!tbl_Forecast,MATCH($D$8&amp;$C13&amp;$D$7,[1]!rng_ForecastRowLookup,0),MATCH(I$11,[1]!rng_ForecastColumnLookup,0))</f>
        <v>4165476.9532686244</v>
      </c>
      <c r="J13" s="35">
        <f ca="1">INDEX([1]!tbl_Forecast,MATCH($D$8&amp;$C13&amp;$D$7,[1]!rng_ForecastRowLookup,0),MATCH(J$11,[1]!rng_ForecastColumnLookup,0))</f>
        <v>4156018.0660900641</v>
      </c>
      <c r="K13" s="35">
        <f ca="1">INDEX([1]!tbl_Forecast,MATCH($D$8&amp;$C13&amp;$D$7,[1]!rng_ForecastRowLookup,0),MATCH(K$11,[1]!rng_ForecastColumnLookup,0))</f>
        <v>4146580.6579756448</v>
      </c>
      <c r="L13" s="35">
        <f ca="1">INDEX([1]!tbl_Forecast,MATCH($D$8&amp;$C13&amp;$D$7,[1]!rng_ForecastRowLookup,0),MATCH(L$11,[1]!rng_ForecastColumnLookup,0))</f>
        <v>4137164.6801511091</v>
      </c>
      <c r="M13" s="35">
        <f ca="1">INDEX([1]!tbl_Forecast,MATCH($D$8&amp;$C13&amp;$D$7,[1]!rng_ForecastRowLookup,0),MATCH(M$11,[1]!rng_ForecastColumnLookup,0))</f>
        <v>4127770.0839529554</v>
      </c>
      <c r="N13" s="35">
        <f ca="1">INDEX([1]!tbl_Forecast,MATCH($D$8&amp;$C13&amp;$D$7,[1]!rng_ForecastRowLookup,0),MATCH(N$11,[1]!rng_ForecastColumnLookup,0))</f>
        <v>4118396.8208281873</v>
      </c>
      <c r="O13" s="35">
        <f ca="1">INDEX([1]!tbl_Forecast,MATCH($D$8&amp;$C13&amp;$D$7,[1]!rng_ForecastRowLookup,0),MATCH(O$11,[1]!rng_ForecastColumnLookup,0))</f>
        <v>4109044.8423340586</v>
      </c>
      <c r="P13" s="35">
        <f ca="1">INDEX([1]!tbl_Forecast,MATCH($D$8&amp;$C13&amp;$D$7,[1]!rng_ForecastRowLookup,0),MATCH(P$11,[1]!rng_ForecastColumnLookup,0))</f>
        <v>4099714.1001378288</v>
      </c>
      <c r="Q13" s="35">
        <f ca="1">INDEX([1]!tbl_Forecast,MATCH($D$8&amp;$C13&amp;$D$7,[1]!rng_ForecastRowLookup,0),MATCH(Q$11,[1]!rng_ForecastColumnLookup,0))</f>
        <v>4090404.5460165106</v>
      </c>
      <c r="R13" s="35">
        <f ca="1">INDEX([1]!tbl_Forecast,MATCH($D$8&amp;$C13&amp;$D$7,[1]!rng_ForecastRowLookup,0),MATCH(R$11,[1]!rng_ForecastColumnLookup,0))</f>
        <v>4081116.1318566194</v>
      </c>
      <c r="S13" s="35">
        <f ca="1">INDEX([1]!tbl_Forecast,MATCH($D$8&amp;$C13&amp;$D$7,[1]!rng_ForecastRowLookup,0),MATCH(S$11,[1]!rng_ForecastColumnLookup,0))</f>
        <v>4071848.8096539262</v>
      </c>
      <c r="T13" s="35">
        <f ca="1">INDEX([1]!tbl_Forecast,MATCH($D$8&amp;$C13&amp;$D$7,[1]!rng_ForecastRowLookup,0),MATCH(T$11,[1]!rng_ForecastColumnLookup,0))</f>
        <v>4062602.5315132081</v>
      </c>
      <c r="U13" s="35">
        <f ca="1">INDEX([1]!tbl_Forecast,MATCH($D$8&amp;$C13&amp;$D$7,[1]!rng_ForecastRowLookup,0),MATCH(U$11,[1]!rng_ForecastColumnLookup,0))</f>
        <v>4053377.2496480034</v>
      </c>
      <c r="V13" s="35">
        <f ca="1">INDEX([1]!tbl_Forecast,MATCH($D$8&amp;$C13&amp;$D$7,[1]!rng_ForecastRowLookup,0),MATCH(V$11,[1]!rng_ForecastColumnLookup,0))</f>
        <v>4044172.9163803621</v>
      </c>
      <c r="W13" s="35">
        <f ca="1">INDEX([1]!tbl_Forecast,MATCH($D$8&amp;$C13&amp;$D$7,[1]!rng_ForecastRowLookup,0),MATCH(W$11,[1]!rng_ForecastColumnLookup,0))</f>
        <v>4034989.4841406001</v>
      </c>
      <c r="X13" s="35">
        <f ca="1">INDEX([1]!tbl_Forecast,MATCH($D$8&amp;$C13&amp;$D$7,[1]!rng_ForecastRowLookup,0),MATCH(X$11,[1]!rng_ForecastColumnLookup,0))</f>
        <v>4025826.9054670548</v>
      </c>
      <c r="Y13" s="35"/>
      <c r="Z13"/>
    </row>
    <row r="14" spans="1:68">
      <c r="C14" s="7" t="s">
        <v>53</v>
      </c>
      <c r="E14" s="35">
        <f ca="1">INDEX([1]!tbl_Forecast,MATCH($D$8&amp;$C14&amp;$D$7,[1]!rng_ForecastRowLookup,0),MATCH(E$11,[1]!rng_ForecastColumnLookup,0))</f>
        <v>572006.3278356482</v>
      </c>
      <c r="F14" s="35">
        <f ca="1">INDEX([1]!tbl_Forecast,MATCH($D$8&amp;$C14&amp;$D$7,[1]!rng_ForecastRowLookup,0),MATCH(F$11,[1]!rng_ForecastColumnLookup,0))</f>
        <v>565893.30394507048</v>
      </c>
      <c r="G14" s="35">
        <f ca="1">INDEX([1]!tbl_Forecast,MATCH($D$8&amp;$C14&amp;$D$7,[1]!rng_ForecastRowLookup,0),MATCH(G$11,[1]!rng_ForecastColumnLookup,0))</f>
        <v>559845.60985814757</v>
      </c>
      <c r="H14" s="35">
        <f ca="1">INDEX([1]!tbl_Forecast,MATCH($D$8&amp;$C14&amp;$D$7,[1]!rng_ForecastRowLookup,0),MATCH(H$11,[1]!rng_ForecastColumnLookup,0))</f>
        <v>553862.54739615123</v>
      </c>
      <c r="I14" s="35">
        <f ca="1">INDEX([1]!tbl_Forecast,MATCH($D$8&amp;$C14&amp;$D$7,[1]!rng_ForecastRowLookup,0),MATCH(I$11,[1]!rng_ForecastColumnLookup,0))</f>
        <v>547943.42584177968</v>
      </c>
      <c r="J14" s="35">
        <f ca="1">INDEX([1]!tbl_Forecast,MATCH($D$8&amp;$C14&amp;$D$7,[1]!rng_ForecastRowLookup,0),MATCH(J$11,[1]!rng_ForecastColumnLookup,0))</f>
        <v>542087.56185941794</v>
      </c>
      <c r="K14" s="35">
        <f ca="1">INDEX([1]!tbl_Forecast,MATCH($D$8&amp;$C14&amp;$D$7,[1]!rng_ForecastRowLookup,0),MATCH(K$11,[1]!rng_ForecastColumnLookup,0))</f>
        <v>536294.27941624937</v>
      </c>
      <c r="L14" s="35">
        <f ca="1">INDEX([1]!tbl_Forecast,MATCH($D$8&amp;$C14&amp;$D$7,[1]!rng_ForecastRowLookup,0),MATCH(L$11,[1]!rng_ForecastColumnLookup,0))</f>
        <v>530562.90970421082</v>
      </c>
      <c r="M14" s="35">
        <f ca="1">INDEX([1]!tbl_Forecast,MATCH($D$8&amp;$C14&amp;$D$7,[1]!rng_ForecastRowLookup,0),MATCH(M$11,[1]!rng_ForecastColumnLookup,0))</f>
        <v>524892.79106278194</v>
      </c>
      <c r="N14" s="35">
        <f ca="1">INDEX([1]!tbl_Forecast,MATCH($D$8&amp;$C14&amp;$D$7,[1]!rng_ForecastRowLookup,0),MATCH(N$11,[1]!rng_ForecastColumnLookup,0))</f>
        <v>519283.26890259917</v>
      </c>
      <c r="O14" s="35">
        <f ca="1">INDEX([1]!tbl_Forecast,MATCH($D$8&amp;$C14&amp;$D$7,[1]!rng_ForecastRowLookup,0),MATCH(O$11,[1]!rng_ForecastColumnLookup,0))</f>
        <v>513733.69562988722</v>
      </c>
      <c r="P14" s="35">
        <f ca="1">INDEX([1]!tbl_Forecast,MATCH($D$8&amp;$C14&amp;$D$7,[1]!rng_ForecastRowLookup,0),MATCH(P$11,[1]!rng_ForecastColumnLookup,0))</f>
        <v>508243.4305716962</v>
      </c>
      <c r="Q14" s="35">
        <f ca="1">INDEX([1]!tbl_Forecast,MATCH($D$8&amp;$C14&amp;$D$7,[1]!rng_ForecastRowLookup,0),MATCH(Q$11,[1]!rng_ForecastColumnLookup,0))</f>
        <v>502811.8399019395</v>
      </c>
      <c r="R14" s="35">
        <f ca="1">INDEX([1]!tbl_Forecast,MATCH($D$8&amp;$C14&amp;$D$7,[1]!rng_ForecastRowLookup,0),MATCH(R$11,[1]!rng_ForecastColumnLookup,0))</f>
        <v>497438.2965682213</v>
      </c>
      <c r="S14" s="35">
        <f ca="1">INDEX([1]!tbl_Forecast,MATCH($D$8&amp;$C14&amp;$D$7,[1]!rng_ForecastRowLookup,0),MATCH(S$11,[1]!rng_ForecastColumnLookup,0))</f>
        <v>492122.18021944637</v>
      </c>
      <c r="T14" s="35">
        <f ca="1">INDEX([1]!tbl_Forecast,MATCH($D$8&amp;$C14&amp;$D$7,[1]!rng_ForecastRowLookup,0),MATCH(T$11,[1]!rng_ForecastColumnLookup,0))</f>
        <v>486862.87713420321</v>
      </c>
      <c r="U14" s="35">
        <f ca="1">INDEX([1]!tbl_Forecast,MATCH($D$8&amp;$C14&amp;$D$7,[1]!rng_ForecastRowLookup,0),MATCH(U$11,[1]!rng_ForecastColumnLookup,0))</f>
        <v>481659.78014991269</v>
      </c>
      <c r="V14" s="35">
        <f ca="1">INDEX([1]!tbl_Forecast,MATCH($D$8&amp;$C14&amp;$D$7,[1]!rng_ForecastRowLookup,0),MATCH(V$11,[1]!rng_ForecastColumnLookup,0))</f>
        <v>476512.28859273402</v>
      </c>
      <c r="W14" s="35">
        <f ca="1">INDEX([1]!tbl_Forecast,MATCH($D$8&amp;$C14&amp;$D$7,[1]!rng_ForecastRowLookup,0),MATCH(W$11,[1]!rng_ForecastColumnLookup,0))</f>
        <v>471419.80820821953</v>
      </c>
      <c r="X14" s="35">
        <f ca="1">INDEX([1]!tbl_Forecast,MATCH($D$8&amp;$C14&amp;$D$7,[1]!rng_ForecastRowLookup,0),MATCH(X$11,[1]!rng_ForecastColumnLookup,0))</f>
        <v>466381.75109271082</v>
      </c>
      <c r="Y14" s="35"/>
      <c r="Z14" s="35"/>
    </row>
    <row r="15" spans="1:68">
      <c r="E15" s="35"/>
      <c r="F15" s="35"/>
      <c r="G15" s="35"/>
      <c r="H15" s="35"/>
      <c r="I15" s="35"/>
      <c r="J15" s="35"/>
      <c r="K15" s="35"/>
      <c r="L15" s="35"/>
      <c r="M15" s="35"/>
      <c r="N15" s="35"/>
      <c r="O15" s="35"/>
      <c r="P15" s="35"/>
      <c r="Q15" s="35"/>
      <c r="R15" s="35"/>
      <c r="S15" s="35"/>
      <c r="T15" s="35"/>
      <c r="U15" s="35"/>
      <c r="V15" s="35"/>
      <c r="W15" s="35"/>
      <c r="X15" s="35"/>
      <c r="Y15" s="35"/>
    </row>
    <row r="16" spans="1:68">
      <c r="B16" s="7" t="s">
        <v>60</v>
      </c>
      <c r="C16" s="7" t="s">
        <v>61</v>
      </c>
      <c r="E16" s="35">
        <f t="shared" ref="E16:X16" ca="1" si="1">SUM(E13:E14)</f>
        <v>4775534.5998356482</v>
      </c>
      <c r="F16" s="35">
        <f t="shared" ca="1" si="1"/>
        <v>4759876.2825434254</v>
      </c>
      <c r="G16" s="35">
        <f t="shared" ca="1" si="1"/>
        <v>4744304.9703286355</v>
      </c>
      <c r="H16" s="35">
        <f t="shared" ca="1" si="1"/>
        <v>4728819.9157927409</v>
      </c>
      <c r="I16" s="35">
        <f t="shared" ca="1" si="1"/>
        <v>4713420.3791104043</v>
      </c>
      <c r="J16" s="35">
        <f t="shared" ca="1" si="1"/>
        <v>4698105.6279494818</v>
      </c>
      <c r="K16" s="35">
        <f t="shared" ca="1" si="1"/>
        <v>4682874.9373918939</v>
      </c>
      <c r="L16" s="35">
        <f t="shared" ca="1" si="1"/>
        <v>4667727.5898553198</v>
      </c>
      <c r="M16" s="35">
        <f t="shared" ca="1" si="1"/>
        <v>4652662.8750157375</v>
      </c>
      <c r="N16" s="35">
        <f t="shared" ca="1" si="1"/>
        <v>4637680.0897307862</v>
      </c>
      <c r="O16" s="35">
        <f t="shared" ca="1" si="1"/>
        <v>4622778.5379639454</v>
      </c>
      <c r="P16" s="35">
        <f t="shared" ca="1" si="1"/>
        <v>4607957.5307095246</v>
      </c>
      <c r="Q16" s="35">
        <f t="shared" ca="1" si="1"/>
        <v>4593216.3859184496</v>
      </c>
      <c r="R16" s="35">
        <f t="shared" ca="1" si="1"/>
        <v>4578554.4284248408</v>
      </c>
      <c r="S16" s="35">
        <f t="shared" ca="1" si="1"/>
        <v>4563970.9898733729</v>
      </c>
      <c r="T16" s="35">
        <f t="shared" ca="1" si="1"/>
        <v>4549465.4086474115</v>
      </c>
      <c r="U16" s="35">
        <f t="shared" ca="1" si="1"/>
        <v>4535037.0297979163</v>
      </c>
      <c r="V16" s="35">
        <f t="shared" ca="1" si="1"/>
        <v>4520685.204973096</v>
      </c>
      <c r="W16" s="35">
        <f t="shared" ca="1" si="1"/>
        <v>4506409.2923488198</v>
      </c>
      <c r="X16" s="35">
        <f t="shared" ca="1" si="1"/>
        <v>4492208.6565597653</v>
      </c>
      <c r="Y16" s="35"/>
      <c r="Z16" s="35"/>
    </row>
    <row r="17" spans="1:32">
      <c r="E17" s="35"/>
      <c r="F17" s="35"/>
      <c r="G17" s="35"/>
      <c r="H17" s="35"/>
      <c r="I17" s="35"/>
      <c r="J17" s="35"/>
      <c r="K17" s="35"/>
      <c r="L17" s="35"/>
      <c r="M17" s="35"/>
      <c r="N17" s="35"/>
      <c r="O17" s="35"/>
      <c r="P17" s="35"/>
      <c r="Q17" s="35"/>
      <c r="R17" s="35"/>
      <c r="S17" s="35"/>
      <c r="T17" s="35"/>
      <c r="U17" s="35"/>
      <c r="V17" s="35"/>
      <c r="W17" s="35"/>
      <c r="X17" s="35"/>
      <c r="Y17" s="35"/>
    </row>
    <row r="18" spans="1:32">
      <c r="E18" s="35"/>
      <c r="F18" s="35"/>
      <c r="G18" s="35"/>
      <c r="H18" s="35"/>
      <c r="I18" s="35"/>
      <c r="J18" s="35"/>
      <c r="K18" s="35"/>
      <c r="L18" s="35"/>
      <c r="M18" s="35"/>
      <c r="N18" s="35"/>
      <c r="O18" s="35"/>
      <c r="P18" s="35"/>
      <c r="Q18" s="35"/>
      <c r="R18" s="35"/>
      <c r="S18" s="35"/>
      <c r="T18" s="35"/>
      <c r="U18" s="35"/>
      <c r="V18" s="35"/>
      <c r="W18" s="35"/>
      <c r="X18" s="35"/>
      <c r="Y18" s="35"/>
    </row>
    <row r="19" spans="1:32" ht="15">
      <c r="A19" s="56" t="s">
        <v>458</v>
      </c>
      <c r="E19" s="35"/>
      <c r="F19" s="35"/>
      <c r="G19" s="35"/>
      <c r="H19" s="35"/>
      <c r="I19" s="35"/>
      <c r="J19" s="35"/>
      <c r="K19" s="35"/>
      <c r="L19" s="35"/>
      <c r="M19" s="35"/>
      <c r="N19" s="35"/>
      <c r="O19" s="35"/>
      <c r="P19" s="35"/>
      <c r="Q19" s="35"/>
      <c r="R19" s="35"/>
      <c r="S19" s="35"/>
      <c r="T19" s="35"/>
      <c r="U19" s="35"/>
      <c r="V19" s="35"/>
      <c r="W19" s="35"/>
      <c r="X19" s="35"/>
      <c r="Y19" s="35"/>
    </row>
    <row r="20" spans="1:32" ht="15">
      <c r="A20" s="7" t="s">
        <v>459</v>
      </c>
      <c r="E20" s="65">
        <v>1</v>
      </c>
      <c r="F20" s="65">
        <v>2</v>
      </c>
      <c r="G20" s="65">
        <v>3</v>
      </c>
      <c r="H20" s="65">
        <v>4</v>
      </c>
      <c r="I20" s="65">
        <v>5</v>
      </c>
      <c r="J20" s="65">
        <v>6</v>
      </c>
      <c r="K20" s="65">
        <v>7</v>
      </c>
      <c r="L20" s="65">
        <v>8</v>
      </c>
      <c r="M20" s="65">
        <v>9</v>
      </c>
      <c r="N20" s="65">
        <v>10</v>
      </c>
      <c r="O20" s="65">
        <v>11</v>
      </c>
      <c r="P20" s="65">
        <v>12</v>
      </c>
      <c r="Q20" s="65">
        <v>13</v>
      </c>
      <c r="R20" s="65">
        <v>14</v>
      </c>
      <c r="S20" s="65">
        <v>15</v>
      </c>
      <c r="T20" s="65">
        <v>16</v>
      </c>
      <c r="U20" s="65">
        <v>17</v>
      </c>
      <c r="V20" s="65">
        <v>18</v>
      </c>
      <c r="W20" s="65">
        <v>19</v>
      </c>
      <c r="X20" s="65">
        <v>20</v>
      </c>
      <c r="Y20" s="65"/>
    </row>
    <row r="21" spans="1:32">
      <c r="C21" s="7" t="str">
        <f>C13</f>
        <v>Single Family</v>
      </c>
      <c r="E21" s="35">
        <f>IF(E$20&lt;=1/$C$37,0,INDEX('SC-New'!$E$150:$X$151,1,E$20-ROUND(1/$C$37,0)))</f>
        <v>0</v>
      </c>
      <c r="F21" s="35">
        <f>IF(F$20&lt;=1/$C$37,0,INDEX('SC-New'!$E$150:$X$151,1,F$20-ROUND(1/$C$37,0)))</f>
        <v>0</v>
      </c>
      <c r="G21" s="35">
        <f>IF(G$20&lt;=1/$C$37,0,INDEX('SC-New'!$E$150:$X$151,1,G$20-ROUND(1/$C$37,0)))</f>
        <v>0</v>
      </c>
      <c r="H21" s="35">
        <f>IF(H$20&lt;=1/$C$37,0,INDEX('SC-New'!$E$150:$X$151,1,H$20-ROUND(1/$C$37,0)))</f>
        <v>0</v>
      </c>
      <c r="I21" s="35">
        <f>IF(I$20&lt;=1/$C$37,0,INDEX('SC-New'!$E$150:$X$151,1,I$20-ROUND(1/$C$37,0)))</f>
        <v>0</v>
      </c>
      <c r="J21" s="35">
        <f>IF(J$20&lt;=1/$C$37,0,INDEX('SC-New'!$E$150:$X$151,1,J$20-ROUND(1/$C$37,0)))</f>
        <v>0</v>
      </c>
      <c r="K21" s="35">
        <f>IF(K$20&lt;=1/$C$37,0,INDEX('SC-New'!$E$150:$X$151,1,K$20-ROUND(1/$C$37,0)))</f>
        <v>0</v>
      </c>
      <c r="L21" s="35">
        <f>IF(L$20&lt;=1/$C$37,0,INDEX('SC-New'!$E$150:$X$151,1,L$20-ROUND(1/$C$37,0)))</f>
        <v>0</v>
      </c>
      <c r="M21" s="35">
        <f>IF(M$20&lt;=1/$C$37,0,INDEX('SC-New'!$E$150:$X$151,1,M$20-ROUND(1/$C$37,0)))</f>
        <v>0</v>
      </c>
      <c r="N21" s="35">
        <f>IF(N$20&lt;=1/$C$37,0,INDEX('SC-New'!$E$150:$X$151,1,N$20-ROUND(1/$C$37,0)))</f>
        <v>0</v>
      </c>
      <c r="O21" s="35">
        <f>IF(O$20&lt;=1/$C$37,0,INDEX('SC-New'!$E$150:$X$151,1,O$20-ROUND(1/$C$37,0)))</f>
        <v>0</v>
      </c>
      <c r="P21" s="35">
        <f>IF(P$20&lt;=1/$C$37,0,INDEX('SC-New'!$E$150:$X$151,1,P$20-ROUND(1/$C$37,0)))</f>
        <v>0</v>
      </c>
      <c r="Q21" s="35">
        <f>IF(Q$20&lt;=1/$C$37,0,INDEX('SC-New'!$E$150:$X$151,1,Q$20-ROUND(1/$C$37,0)))</f>
        <v>0</v>
      </c>
      <c r="R21" s="35">
        <f ca="1">IF(R$20&lt;=1/$C$37,0,INDEX('SC-New'!$E$150:$X$151,1,R$20-ROUND(1/$C$37,0)))</f>
        <v>62406.013582636013</v>
      </c>
      <c r="S21" s="35">
        <f ca="1">IF(S$20&lt;=1/$C$37,0,INDEX('SC-New'!$E$150:$X$151,1,S$20-ROUND(1/$C$37,0)))</f>
        <v>59273.566359539567</v>
      </c>
      <c r="T21" s="35">
        <f ca="1">IF(T$20&lt;=1/$C$37,0,INDEX('SC-New'!$E$150:$X$151,1,T$20-ROUND(1/$C$37,0)))</f>
        <v>55384.32758604522</v>
      </c>
      <c r="U21" s="35">
        <f ca="1">IF(U$20&lt;=1/$C$37,0,INDEX('SC-New'!$E$150:$X$151,1,U$20-ROUND(1/$C$37,0)))</f>
        <v>52232.66386890439</v>
      </c>
      <c r="V21" s="35">
        <f ca="1">IF(V$20&lt;=1/$C$37,0,INDEX('SC-New'!$E$150:$X$151,1,V$20-ROUND(1/$C$37,0)))</f>
        <v>48785.351078899766</v>
      </c>
      <c r="W21" s="35">
        <f ca="1">IF(W$20&lt;=1/$C$37,0,INDEX('SC-New'!$E$150:$X$151,1,W$20-ROUND(1/$C$37,0)))</f>
        <v>43756.837328899885</v>
      </c>
      <c r="X21" s="35">
        <f ca="1">IF(X$20&lt;=1/$C$37,0,INDEX('SC-New'!$E$150:$X$151,1,X$20-ROUND(1/$C$37,0)))</f>
        <v>39165.00592494099</v>
      </c>
      <c r="Y21" s="35"/>
      <c r="Z21" s="35"/>
      <c r="AB21" s="35"/>
      <c r="AC21" s="35"/>
      <c r="AD21" s="35"/>
      <c r="AE21" s="35"/>
      <c r="AF21" s="35"/>
    </row>
    <row r="22" spans="1:32">
      <c r="C22" s="7" t="str">
        <f t="shared" ref="C22" si="2">C14</f>
        <v>Manufactured</v>
      </c>
      <c r="E22" s="35">
        <f>IF(E$20&lt;=1/$C$37,0,INDEX('SC-New'!$E$150:$X$151,2,E$20-ROUND(1/$C$37,0)))</f>
        <v>0</v>
      </c>
      <c r="F22" s="35">
        <f>IF(F$20&lt;=1/$C$37,0,INDEX('SC-New'!$E$150:$X$151,2,F$20-ROUND(1/$C$37,0)))</f>
        <v>0</v>
      </c>
      <c r="G22" s="35">
        <f>IF(G$20&lt;=1/$C$37,0,INDEX('SC-New'!$E$150:$X$151,2,G$20-ROUND(1/$C$37,0)))</f>
        <v>0</v>
      </c>
      <c r="H22" s="35">
        <f>IF(H$20&lt;=1/$C$37,0,INDEX('SC-New'!$E$150:$X$151,2,H$20-ROUND(1/$C$37,0)))</f>
        <v>0</v>
      </c>
      <c r="I22" s="35">
        <f>IF(I$20&lt;=1/$C$37,0,INDEX('SC-New'!$E$150:$X$151,2,I$20-ROUND(1/$C$37,0)))</f>
        <v>0</v>
      </c>
      <c r="J22" s="35">
        <f>IF(J$20&lt;=1/$C$37,0,INDEX('SC-New'!$E$150:$X$151,2,J$20-ROUND(1/$C$37,0)))</f>
        <v>0</v>
      </c>
      <c r="K22" s="35">
        <f>IF(K$20&lt;=1/$C$37,0,INDEX('SC-New'!$E$150:$X$151,2,K$20-ROUND(1/$C$37,0)))</f>
        <v>0</v>
      </c>
      <c r="L22" s="35">
        <f>IF(L$20&lt;=1/$C$37,0,INDEX('SC-New'!$E$150:$X$151,2,L$20-ROUND(1/$C$37,0)))</f>
        <v>0</v>
      </c>
      <c r="M22" s="35">
        <f>IF(M$20&lt;=1/$C$37,0,INDEX('SC-New'!$E$150:$X$151,2,M$20-ROUND(1/$C$37,0)))</f>
        <v>0</v>
      </c>
      <c r="N22" s="35">
        <f>IF(N$20&lt;=1/$C$37,0,INDEX('SC-New'!$E$150:$X$151,2,N$20-ROUND(1/$C$37,0)))</f>
        <v>0</v>
      </c>
      <c r="O22" s="35">
        <f>IF(O$20&lt;=1/$C$37,0,INDEX('SC-New'!$E$150:$X$151,2,O$20-ROUND(1/$C$37,0)))</f>
        <v>0</v>
      </c>
      <c r="P22" s="35">
        <f>IF(P$20&lt;=1/$C$37,0,INDEX('SC-New'!$E$150:$X$151,2,P$20-ROUND(1/$C$37,0)))</f>
        <v>0</v>
      </c>
      <c r="Q22" s="35">
        <f>IF(Q$20&lt;=1/$C$37,0,INDEX('SC-New'!$E$150:$X$151,2,Q$20-ROUND(1/$C$37,0)))</f>
        <v>0</v>
      </c>
      <c r="R22" s="35">
        <f ca="1">IF(R$20&lt;=1/$C$37,0,INDEX('SC-New'!$E$150:$X$151,2,R$20-ROUND(1/$C$37,0)))</f>
        <v>1861.2237684685269</v>
      </c>
      <c r="S22" s="35">
        <f ca="1">IF(S$20&lt;=1/$C$37,0,INDEX('SC-New'!$E$150:$X$151,2,S$20-ROUND(1/$C$37,0)))</f>
        <v>1860.1762652648233</v>
      </c>
      <c r="T22" s="35">
        <f ca="1">IF(T$20&lt;=1/$C$37,0,INDEX('SC-New'!$E$150:$X$151,2,T$20-ROUND(1/$C$37,0)))</f>
        <v>1899.3670342047915</v>
      </c>
      <c r="U22" s="35">
        <f ca="1">IF(U$20&lt;=1/$C$37,0,INDEX('SC-New'!$E$150:$X$151,2,U$20-ROUND(1/$C$37,0)))</f>
        <v>1919.915078942453</v>
      </c>
      <c r="V22" s="35">
        <f ca="1">IF(V$20&lt;=1/$C$37,0,INDEX('SC-New'!$E$150:$X$151,2,V$20-ROUND(1/$C$37,0)))</f>
        <v>1786.4034135238016</v>
      </c>
      <c r="W22" s="35">
        <f ca="1">IF(W$20&lt;=1/$C$37,0,INDEX('SC-New'!$E$150:$X$151,2,W$20-ROUND(1/$C$37,0)))</f>
        <v>1654.9836078895921</v>
      </c>
      <c r="X22" s="35">
        <f ca="1">IF(X$20&lt;=1/$C$37,0,INDEX('SC-New'!$E$150:$X$151,2,X$20-ROUND(1/$C$37,0)))</f>
        <v>1528.6560224674224</v>
      </c>
      <c r="Y22" s="35"/>
      <c r="Z22" s="35"/>
      <c r="AB22" s="35"/>
      <c r="AC22" s="35"/>
      <c r="AD22" s="35"/>
      <c r="AE22" s="35"/>
      <c r="AF22" s="35"/>
    </row>
    <row r="23" spans="1:32">
      <c r="E23" s="35"/>
      <c r="F23" s="35"/>
      <c r="G23" s="35"/>
      <c r="H23" s="35"/>
      <c r="I23" s="35"/>
      <c r="J23" s="35"/>
      <c r="K23" s="35"/>
      <c r="L23" s="35"/>
      <c r="M23" s="35"/>
      <c r="N23" s="35"/>
      <c r="O23" s="35"/>
      <c r="P23" s="35"/>
      <c r="Q23" s="35"/>
      <c r="R23" s="35"/>
      <c r="S23" s="35"/>
      <c r="T23" s="35"/>
      <c r="U23" s="35"/>
      <c r="V23" s="35"/>
      <c r="W23" s="35"/>
      <c r="X23" s="35"/>
      <c r="Y23" s="35"/>
      <c r="Z23" s="35"/>
      <c r="AB23" s="35"/>
      <c r="AC23" s="35"/>
      <c r="AD23" s="35"/>
      <c r="AE23" s="35"/>
      <c r="AF23" s="35"/>
    </row>
    <row r="24" spans="1:32">
      <c r="C24" s="7" t="s">
        <v>460</v>
      </c>
      <c r="E24" s="35">
        <f t="shared" ref="E24:X24" si="3">SUM(E21:E22)</f>
        <v>0</v>
      </c>
      <c r="F24" s="35">
        <f t="shared" si="3"/>
        <v>0</v>
      </c>
      <c r="G24" s="35">
        <f t="shared" si="3"/>
        <v>0</v>
      </c>
      <c r="H24" s="35">
        <f t="shared" si="3"/>
        <v>0</v>
      </c>
      <c r="I24" s="35">
        <f t="shared" si="3"/>
        <v>0</v>
      </c>
      <c r="J24" s="35">
        <f t="shared" si="3"/>
        <v>0</v>
      </c>
      <c r="K24" s="35">
        <f t="shared" si="3"/>
        <v>0</v>
      </c>
      <c r="L24" s="35">
        <f t="shared" si="3"/>
        <v>0</v>
      </c>
      <c r="M24" s="35">
        <f t="shared" si="3"/>
        <v>0</v>
      </c>
      <c r="N24" s="35">
        <f t="shared" si="3"/>
        <v>0</v>
      </c>
      <c r="O24" s="35">
        <f t="shared" si="3"/>
        <v>0</v>
      </c>
      <c r="P24" s="35">
        <f t="shared" si="3"/>
        <v>0</v>
      </c>
      <c r="Q24" s="35">
        <f t="shared" si="3"/>
        <v>0</v>
      </c>
      <c r="R24" s="35">
        <f t="shared" ca="1" si="3"/>
        <v>64267.237351104537</v>
      </c>
      <c r="S24" s="35">
        <f t="shared" ca="1" si="3"/>
        <v>61133.742624804392</v>
      </c>
      <c r="T24" s="35">
        <f t="shared" ca="1" si="3"/>
        <v>57283.694620250011</v>
      </c>
      <c r="U24" s="35">
        <f t="shared" ca="1" si="3"/>
        <v>54152.578947846843</v>
      </c>
      <c r="V24" s="35">
        <f t="shared" ca="1" si="3"/>
        <v>50571.75449242357</v>
      </c>
      <c r="W24" s="35">
        <f t="shared" ca="1" si="3"/>
        <v>45411.820936789474</v>
      </c>
      <c r="X24" s="35">
        <f t="shared" ca="1" si="3"/>
        <v>40693.661947408415</v>
      </c>
      <c r="Y24" s="35"/>
      <c r="Z24" s="35"/>
      <c r="AB24" s="35"/>
      <c r="AC24" s="35"/>
      <c r="AD24" s="35"/>
      <c r="AE24" s="35"/>
      <c r="AF24" s="35"/>
    </row>
    <row r="25" spans="1:32">
      <c r="E25" s="35"/>
      <c r="F25" s="35"/>
      <c r="G25" s="35"/>
      <c r="H25" s="35"/>
      <c r="I25" s="35"/>
      <c r="J25" s="35"/>
      <c r="K25" s="35"/>
      <c r="L25" s="35"/>
      <c r="M25" s="35"/>
      <c r="N25" s="35"/>
      <c r="O25" s="35"/>
      <c r="P25" s="35"/>
      <c r="Q25" s="35"/>
      <c r="R25" s="35"/>
      <c r="S25" s="35"/>
      <c r="T25" s="35"/>
      <c r="U25" s="35"/>
      <c r="V25" s="35"/>
      <c r="W25" s="35"/>
      <c r="X25" s="35"/>
      <c r="Y25" s="35"/>
    </row>
    <row r="26" spans="1:32">
      <c r="E26" s="35"/>
      <c r="F26" s="35"/>
      <c r="G26" s="35"/>
      <c r="H26" s="35"/>
      <c r="I26" s="35"/>
      <c r="J26" s="35"/>
      <c r="K26" s="35"/>
      <c r="L26" s="35"/>
      <c r="M26" s="35"/>
      <c r="N26" s="35"/>
      <c r="O26" s="35"/>
      <c r="P26" s="35"/>
      <c r="Q26" s="35"/>
      <c r="R26" s="35"/>
      <c r="S26" s="35"/>
      <c r="T26" s="35"/>
      <c r="U26" s="35"/>
      <c r="V26" s="35"/>
      <c r="W26" s="35"/>
      <c r="X26" s="35"/>
      <c r="Y26" s="35"/>
    </row>
    <row r="27" spans="1:32" ht="15">
      <c r="A27" s="56" t="s">
        <v>461</v>
      </c>
      <c r="E27" s="35"/>
      <c r="F27" s="35"/>
      <c r="G27" s="35"/>
      <c r="H27" s="35"/>
      <c r="I27" s="35"/>
      <c r="J27" s="35"/>
      <c r="K27" s="35"/>
      <c r="L27" s="35"/>
      <c r="M27" s="35"/>
      <c r="N27" s="35"/>
      <c r="O27" s="35"/>
      <c r="P27" s="35"/>
      <c r="Q27" s="35"/>
      <c r="R27" s="35"/>
      <c r="S27" s="35"/>
      <c r="T27" s="35"/>
      <c r="U27" s="35"/>
      <c r="V27" s="35"/>
      <c r="W27" s="35"/>
      <c r="X27" s="35"/>
      <c r="Y27" s="35"/>
      <c r="Z27" s="167">
        <v>0.85</v>
      </c>
    </row>
    <row r="28" spans="1:32">
      <c r="E28" s="35">
        <v>2</v>
      </c>
      <c r="F28" s="35">
        <v>3</v>
      </c>
      <c r="G28" s="35">
        <v>4</v>
      </c>
      <c r="H28" s="35">
        <v>5</v>
      </c>
      <c r="I28" s="35">
        <v>6</v>
      </c>
      <c r="J28" s="35">
        <v>7</v>
      </c>
      <c r="K28" s="35">
        <v>8</v>
      </c>
      <c r="L28" s="35">
        <v>9</v>
      </c>
      <c r="M28" s="35">
        <v>10</v>
      </c>
      <c r="N28" s="35">
        <v>11</v>
      </c>
      <c r="O28" s="35">
        <v>12</v>
      </c>
      <c r="P28" s="35">
        <v>13</v>
      </c>
      <c r="Q28" s="35">
        <v>14</v>
      </c>
      <c r="R28" s="35">
        <v>15</v>
      </c>
      <c r="S28" s="35">
        <v>16</v>
      </c>
      <c r="T28" s="35">
        <v>17</v>
      </c>
      <c r="U28" s="35">
        <v>18</v>
      </c>
      <c r="V28" s="35">
        <v>19</v>
      </c>
      <c r="W28" s="35">
        <v>20</v>
      </c>
      <c r="X28" s="35">
        <v>21</v>
      </c>
      <c r="Y28" s="35"/>
      <c r="Z28" s="54"/>
    </row>
    <row r="29" spans="1:32">
      <c r="C29" s="7" t="str">
        <f>C13</f>
        <v>Single Family</v>
      </c>
      <c r="E29" s="35">
        <f t="shared" ref="E29:X29" ca="1" si="4">SUM(E13,E21)</f>
        <v>4203528.2719999999</v>
      </c>
      <c r="F29" s="35">
        <f t="shared" ca="1" si="4"/>
        <v>4193982.9785983553</v>
      </c>
      <c r="G29" s="35">
        <f t="shared" ca="1" si="4"/>
        <v>4184459.3604704877</v>
      </c>
      <c r="H29" s="35">
        <f t="shared" ca="1" si="4"/>
        <v>4174957.36839659</v>
      </c>
      <c r="I29" s="35">
        <f t="shared" ca="1" si="4"/>
        <v>4165476.9532686244</v>
      </c>
      <c r="J29" s="35">
        <f t="shared" ca="1" si="4"/>
        <v>4156018.0660900641</v>
      </c>
      <c r="K29" s="35">
        <f t="shared" ca="1" si="4"/>
        <v>4146580.6579756448</v>
      </c>
      <c r="L29" s="35">
        <f t="shared" ca="1" si="4"/>
        <v>4137164.6801511091</v>
      </c>
      <c r="M29" s="35">
        <f t="shared" ca="1" si="4"/>
        <v>4127770.0839529554</v>
      </c>
      <c r="N29" s="35">
        <f t="shared" ca="1" si="4"/>
        <v>4118396.8208281873</v>
      </c>
      <c r="O29" s="35">
        <f t="shared" ca="1" si="4"/>
        <v>4109044.8423340586</v>
      </c>
      <c r="P29" s="35">
        <f t="shared" ca="1" si="4"/>
        <v>4099714.1001378288</v>
      </c>
      <c r="Q29" s="35">
        <f t="shared" ca="1" si="4"/>
        <v>4090404.5460165106</v>
      </c>
      <c r="R29" s="35">
        <f t="shared" ca="1" si="4"/>
        <v>4143522.1454392555</v>
      </c>
      <c r="S29" s="35">
        <f t="shared" ca="1" si="4"/>
        <v>4131122.3760134657</v>
      </c>
      <c r="T29" s="35">
        <f t="shared" ca="1" si="4"/>
        <v>4117986.8590992531</v>
      </c>
      <c r="U29" s="35">
        <f t="shared" ca="1" si="4"/>
        <v>4105609.913516908</v>
      </c>
      <c r="V29" s="35">
        <f t="shared" ca="1" si="4"/>
        <v>4092958.2674592617</v>
      </c>
      <c r="W29" s="35">
        <f t="shared" ca="1" si="4"/>
        <v>4078746.3214694997</v>
      </c>
      <c r="X29" s="35">
        <f t="shared" ca="1" si="4"/>
        <v>4064991.9113919958</v>
      </c>
      <c r="Y29" s="35"/>
      <c r="Z29" s="174"/>
    </row>
    <row r="30" spans="1:32">
      <c r="C30" s="7" t="str">
        <f t="shared" ref="C30" si="5">C14</f>
        <v>Manufactured</v>
      </c>
      <c r="E30" s="35">
        <f t="shared" ref="E30:X30" ca="1" si="6">SUM(E14,E22)</f>
        <v>572006.3278356482</v>
      </c>
      <c r="F30" s="35">
        <f t="shared" ca="1" si="6"/>
        <v>565893.30394507048</v>
      </c>
      <c r="G30" s="35">
        <f t="shared" ca="1" si="6"/>
        <v>559845.60985814757</v>
      </c>
      <c r="H30" s="35">
        <f t="shared" ca="1" si="6"/>
        <v>553862.54739615123</v>
      </c>
      <c r="I30" s="35">
        <f t="shared" ca="1" si="6"/>
        <v>547943.42584177968</v>
      </c>
      <c r="J30" s="35">
        <f t="shared" ca="1" si="6"/>
        <v>542087.56185941794</v>
      </c>
      <c r="K30" s="35">
        <f t="shared" ca="1" si="6"/>
        <v>536294.27941624937</v>
      </c>
      <c r="L30" s="35">
        <f t="shared" ca="1" si="6"/>
        <v>530562.90970421082</v>
      </c>
      <c r="M30" s="35">
        <f t="shared" ca="1" si="6"/>
        <v>524892.79106278194</v>
      </c>
      <c r="N30" s="35">
        <f t="shared" ca="1" si="6"/>
        <v>519283.26890259917</v>
      </c>
      <c r="O30" s="35">
        <f t="shared" ca="1" si="6"/>
        <v>513733.69562988722</v>
      </c>
      <c r="P30" s="35">
        <f t="shared" ca="1" si="6"/>
        <v>508243.4305716962</v>
      </c>
      <c r="Q30" s="35">
        <f t="shared" ca="1" si="6"/>
        <v>502811.8399019395</v>
      </c>
      <c r="R30" s="35">
        <f t="shared" ca="1" si="6"/>
        <v>499299.52033668983</v>
      </c>
      <c r="S30" s="35">
        <f t="shared" ca="1" si="6"/>
        <v>493982.35648471117</v>
      </c>
      <c r="T30" s="35">
        <f t="shared" ca="1" si="6"/>
        <v>488762.24416840798</v>
      </c>
      <c r="U30" s="35">
        <f t="shared" ca="1" si="6"/>
        <v>483579.69522885513</v>
      </c>
      <c r="V30" s="35">
        <f t="shared" ca="1" si="6"/>
        <v>478298.69200625783</v>
      </c>
      <c r="W30" s="35">
        <f t="shared" ca="1" si="6"/>
        <v>473074.79181610915</v>
      </c>
      <c r="X30" s="35">
        <f t="shared" ca="1" si="6"/>
        <v>467910.40711517824</v>
      </c>
      <c r="Y30" s="35"/>
      <c r="Z30" s="174"/>
    </row>
    <row r="31" spans="1:32">
      <c r="E31" s="35"/>
      <c r="F31" s="35"/>
      <c r="G31" s="35"/>
      <c r="H31" s="35"/>
      <c r="I31" s="35"/>
      <c r="J31" s="35"/>
      <c r="K31" s="35"/>
      <c r="L31" s="35"/>
      <c r="M31" s="35"/>
      <c r="N31" s="35"/>
      <c r="O31" s="35"/>
      <c r="P31" s="35"/>
      <c r="Q31" s="35"/>
      <c r="R31" s="35"/>
      <c r="S31" s="35"/>
      <c r="T31" s="35"/>
      <c r="U31" s="35"/>
      <c r="V31" s="35"/>
      <c r="W31" s="35"/>
      <c r="X31" s="35"/>
      <c r="Y31" s="35"/>
      <c r="Z31" s="54"/>
    </row>
    <row r="32" spans="1:32">
      <c r="E32" s="35">
        <f t="shared" ref="E32:X32" ca="1" si="7">SUM(E29:E30)</f>
        <v>4775534.5998356482</v>
      </c>
      <c r="F32" s="35">
        <f t="shared" ca="1" si="7"/>
        <v>4759876.2825434254</v>
      </c>
      <c r="G32" s="35">
        <f t="shared" ca="1" si="7"/>
        <v>4744304.9703286355</v>
      </c>
      <c r="H32" s="35">
        <f t="shared" ca="1" si="7"/>
        <v>4728819.9157927409</v>
      </c>
      <c r="I32" s="35">
        <f t="shared" ca="1" si="7"/>
        <v>4713420.3791104043</v>
      </c>
      <c r="J32" s="35">
        <f t="shared" ca="1" si="7"/>
        <v>4698105.6279494818</v>
      </c>
      <c r="K32" s="35">
        <f t="shared" ca="1" si="7"/>
        <v>4682874.9373918939</v>
      </c>
      <c r="L32" s="35">
        <f t="shared" ca="1" si="7"/>
        <v>4667727.5898553198</v>
      </c>
      <c r="M32" s="35">
        <f t="shared" ca="1" si="7"/>
        <v>4652662.8750157375</v>
      </c>
      <c r="N32" s="35">
        <f t="shared" ca="1" si="7"/>
        <v>4637680.0897307862</v>
      </c>
      <c r="O32" s="35">
        <f t="shared" ca="1" si="7"/>
        <v>4622778.5379639454</v>
      </c>
      <c r="P32" s="35">
        <f t="shared" ca="1" si="7"/>
        <v>4607957.5307095246</v>
      </c>
      <c r="Q32" s="35">
        <f t="shared" ca="1" si="7"/>
        <v>4593216.3859184496</v>
      </c>
      <c r="R32" s="35">
        <f t="shared" ca="1" si="7"/>
        <v>4642821.6657759454</v>
      </c>
      <c r="S32" s="35">
        <f t="shared" ca="1" si="7"/>
        <v>4625104.7324981764</v>
      </c>
      <c r="T32" s="35">
        <f t="shared" ca="1" si="7"/>
        <v>4606749.1032676613</v>
      </c>
      <c r="U32" s="35">
        <f t="shared" ca="1" si="7"/>
        <v>4589189.6087457631</v>
      </c>
      <c r="V32" s="35">
        <f t="shared" ca="1" si="7"/>
        <v>4571256.9594655195</v>
      </c>
      <c r="W32" s="35">
        <f t="shared" ca="1" si="7"/>
        <v>4551821.1132856086</v>
      </c>
      <c r="X32" s="35">
        <f t="shared" ca="1" si="7"/>
        <v>4532902.318507174</v>
      </c>
      <c r="Y32" s="35"/>
      <c r="Z32" s="35"/>
    </row>
    <row r="33" spans="1:30">
      <c r="E33" s="35"/>
      <c r="F33" s="35"/>
      <c r="G33" s="35"/>
      <c r="H33" s="35"/>
      <c r="I33" s="35"/>
      <c r="J33" s="35"/>
      <c r="K33" s="35"/>
      <c r="L33" s="35"/>
      <c r="M33" s="35"/>
      <c r="N33" s="35"/>
      <c r="O33" s="35"/>
      <c r="P33" s="35"/>
      <c r="Q33" s="35"/>
      <c r="R33" s="35"/>
      <c r="S33" s="35"/>
      <c r="T33" s="35"/>
      <c r="U33" s="35"/>
      <c r="V33" s="35"/>
      <c r="W33" s="35"/>
      <c r="X33" s="35"/>
      <c r="Y33" s="35"/>
    </row>
    <row r="34" spans="1:30">
      <c r="E34" s="35"/>
      <c r="F34" s="35"/>
      <c r="G34" s="35"/>
      <c r="H34" s="35"/>
      <c r="I34" s="35"/>
      <c r="J34" s="35"/>
      <c r="K34" s="35"/>
      <c r="L34" s="35"/>
      <c r="M34" s="35"/>
      <c r="N34" s="35"/>
      <c r="O34" s="35"/>
      <c r="P34" s="35"/>
      <c r="Q34" s="35"/>
      <c r="R34" s="35"/>
      <c r="S34" s="35"/>
      <c r="T34" s="35"/>
      <c r="U34" s="35"/>
      <c r="V34" s="35"/>
      <c r="W34" s="35"/>
      <c r="X34" s="35"/>
      <c r="Y34" s="35"/>
    </row>
    <row r="35" spans="1:30" ht="15">
      <c r="A35" s="168" t="s">
        <v>462</v>
      </c>
      <c r="B35" s="168"/>
      <c r="E35" s="54"/>
      <c r="F35" s="54"/>
      <c r="G35" s="35"/>
      <c r="H35" s="35"/>
      <c r="I35" s="35"/>
      <c r="J35" s="35"/>
      <c r="K35" s="35"/>
      <c r="L35" s="35"/>
      <c r="M35" s="35"/>
      <c r="N35" s="35"/>
      <c r="O35" s="35"/>
      <c r="P35" s="35"/>
      <c r="Q35" s="35"/>
      <c r="R35" s="35"/>
      <c r="S35" s="35"/>
      <c r="T35" s="35"/>
      <c r="U35" s="35"/>
      <c r="V35" s="35"/>
      <c r="W35" s="35"/>
      <c r="X35" s="35"/>
      <c r="Y35" s="35"/>
    </row>
    <row r="36" spans="1:30" ht="15">
      <c r="A36" s="65" t="s">
        <v>62</v>
      </c>
      <c r="B36" s="65" t="s">
        <v>151</v>
      </c>
      <c r="C36" s="65" t="s">
        <v>463</v>
      </c>
      <c r="D36" s="65" t="str">
        <f>CONCATENATE(C8," - ",C7)</f>
        <v>HPWH - NR</v>
      </c>
      <c r="E36" s="169">
        <v>2016</v>
      </c>
      <c r="F36" s="170">
        <v>2017</v>
      </c>
      <c r="G36" s="170">
        <v>2018</v>
      </c>
      <c r="H36" s="170">
        <v>2019</v>
      </c>
      <c r="I36" s="170">
        <v>2020</v>
      </c>
      <c r="J36" s="170">
        <v>2021</v>
      </c>
      <c r="K36" s="170">
        <v>2022</v>
      </c>
      <c r="L36" s="170">
        <v>2023</v>
      </c>
      <c r="M36" s="170">
        <v>2024</v>
      </c>
      <c r="N36" s="170">
        <v>2025</v>
      </c>
      <c r="O36" s="170">
        <v>2026</v>
      </c>
      <c r="P36" s="170">
        <v>2027</v>
      </c>
      <c r="Q36" s="170">
        <v>2028</v>
      </c>
      <c r="R36" s="170">
        <v>2029</v>
      </c>
      <c r="S36" s="170">
        <v>2030</v>
      </c>
      <c r="T36" s="170">
        <v>2031</v>
      </c>
      <c r="U36" s="170">
        <v>2032</v>
      </c>
      <c r="V36" s="170">
        <v>2033</v>
      </c>
      <c r="W36" s="170">
        <v>2034</v>
      </c>
      <c r="X36" s="170">
        <v>2035</v>
      </c>
      <c r="Y36" s="171"/>
    </row>
    <row r="37" spans="1:30">
      <c r="A37" s="57">
        <f>INDEX([2]!ResApplic,MATCH($D$36,[2]APPLIC!$B$9:$B$120,0)+1,MATCH($D37,[2]APPLIC!$C$8:$F$8,0)+1)</f>
        <v>0.94904999999999995</v>
      </c>
      <c r="B37" s="57">
        <f>VLOOKUP(D37,'HVAC weighting'!$A$16:$B$20,2,FALSE)</f>
        <v>0.55200000000000005</v>
      </c>
      <c r="C37" s="57">
        <f>VLOOKUP($D$36,[2]TURN!$B$10:$F$78,MATCH(D37,$D$37:$D$38,0)+1,FALSE)</f>
        <v>7.6923076923076927E-2</v>
      </c>
      <c r="D37" s="7" t="str">
        <f>C13</f>
        <v>Single Family</v>
      </c>
      <c r="E37" s="35">
        <f t="shared" ref="E37:W37" ca="1" si="8">E13*$C37*$A37*$B37</f>
        <v>169394.29966238182</v>
      </c>
      <c r="F37" s="35">
        <f t="shared" ca="1" si="8"/>
        <v>169009.64225407699</v>
      </c>
      <c r="G37" s="35">
        <f t="shared" ca="1" si="8"/>
        <v>168625.85831862254</v>
      </c>
      <c r="H37" s="35">
        <f t="shared" ca="1" si="8"/>
        <v>168242.94587255266</v>
      </c>
      <c r="I37" s="35">
        <f ca="1">I13*$C37*$A37*$B37</f>
        <v>167860.90293690559</v>
      </c>
      <c r="J37" s="35">
        <f t="shared" ca="1" si="8"/>
        <v>167479.72753721327</v>
      </c>
      <c r="K37" s="35">
        <f t="shared" ca="1" si="8"/>
        <v>167099.41770349123</v>
      </c>
      <c r="L37" s="35">
        <f t="shared" ca="1" si="8"/>
        <v>166719.97147022851</v>
      </c>
      <c r="M37" s="35">
        <f t="shared" ca="1" si="8"/>
        <v>166341.38687637731</v>
      </c>
      <c r="N37" s="35">
        <f t="shared" ca="1" si="8"/>
        <v>165963.661965343</v>
      </c>
      <c r="O37" s="35">
        <f t="shared" ca="1" si="8"/>
        <v>165586.79478497387</v>
      </c>
      <c r="P37" s="35">
        <f t="shared" ca="1" si="8"/>
        <v>165210.78338755117</v>
      </c>
      <c r="Q37" s="35">
        <f t="shared" ca="1" si="8"/>
        <v>164835.62582977902</v>
      </c>
      <c r="R37" s="35">
        <f t="shared" ca="1" si="8"/>
        <v>164461.32017277426</v>
      </c>
      <c r="S37" s="35">
        <f t="shared" ca="1" si="8"/>
        <v>164087.86448205664</v>
      </c>
      <c r="T37" s="35">
        <f ca="1">T13*$C37*$A37*$B37</f>
        <v>163715.25682753854</v>
      </c>
      <c r="U37" s="35">
        <f t="shared" ca="1" si="8"/>
        <v>163343.49528351522</v>
      </c>
      <c r="V37" s="35">
        <f t="shared" ca="1" si="8"/>
        <v>162972.57792865479</v>
      </c>
      <c r="W37" s="35">
        <f t="shared" ca="1" si="8"/>
        <v>162602.50284598826</v>
      </c>
      <c r="X37" s="35">
        <f ca="1">X13*$C37*$A37*$B37</f>
        <v>162233.26812289978</v>
      </c>
      <c r="Y37" s="35"/>
      <c r="Z37" s="35">
        <f ca="1">X13*$Z$27*A37*B37</f>
        <v>1792677.6127580423</v>
      </c>
      <c r="AD37" s="35"/>
    </row>
    <row r="38" spans="1:30">
      <c r="A38" s="57">
        <f>INDEX([2]!ResApplic,MATCH($D$36,[2]APPLIC!$B$9:$B$120,0)+1,MATCH($D38,[2]APPLIC!$C$8:$F$8,0)+1)</f>
        <v>0.95</v>
      </c>
      <c r="B38" s="57">
        <f>VLOOKUP(D38,'HVAC weighting'!$A$16:$B$20,2,FALSE)</f>
        <v>0.88900000000000001</v>
      </c>
      <c r="C38" s="57">
        <f>VLOOKUP($D$36,[2]TURN!$B$10:$F$78,MATCH(D38,$D$37:$D$38,0)+1,FALSE)</f>
        <v>7.6923076923076927E-2</v>
      </c>
      <c r="D38" s="7" t="str">
        <f t="shared" ref="D38" si="9">C14</f>
        <v>Manufactured</v>
      </c>
      <c r="E38" s="35">
        <f t="shared" ref="E38:X38" ca="1" si="10">E14*$C38*$A38*$B38</f>
        <v>37160.611090276667</v>
      </c>
      <c r="F38" s="35">
        <f t="shared" ca="1" si="10"/>
        <v>36763.476142062253</v>
      </c>
      <c r="G38" s="35">
        <f t="shared" ca="1" si="10"/>
        <v>36370.585369669119</v>
      </c>
      <c r="H38" s="35">
        <f t="shared" ca="1" si="10"/>
        <v>35981.893415647661</v>
      </c>
      <c r="I38" s="35">
        <f t="shared" ca="1" si="10"/>
        <v>35597.355407282696</v>
      </c>
      <c r="J38" s="35">
        <f t="shared" ca="1" si="10"/>
        <v>35216.926951413188</v>
      </c>
      <c r="K38" s="35">
        <f t="shared" ca="1" si="10"/>
        <v>34840.564129307189</v>
      </c>
      <c r="L38" s="35">
        <f t="shared" ca="1" si="10"/>
        <v>34468.223491591634</v>
      </c>
      <c r="M38" s="35">
        <f t="shared" ca="1" si="10"/>
        <v>34099.862053236349</v>
      </c>
      <c r="N38" s="35">
        <f t="shared" ca="1" si="10"/>
        <v>33735.437288591544</v>
      </c>
      <c r="O38" s="35">
        <f t="shared" ca="1" si="10"/>
        <v>33374.90712647856</v>
      </c>
      <c r="P38" s="35">
        <f t="shared" ca="1" si="10"/>
        <v>33018.229945332772</v>
      </c>
      <c r="Q38" s="35">
        <f t="shared" ca="1" si="10"/>
        <v>32665.364568398694</v>
      </c>
      <c r="R38" s="35">
        <f t="shared" ca="1" si="10"/>
        <v>32316.270258976256</v>
      </c>
      <c r="S38" s="35">
        <f t="shared" ca="1" si="10"/>
        <v>31970.906715717956</v>
      </c>
      <c r="T38" s="35">
        <f t="shared" ca="1" si="10"/>
        <v>31629.234067976256</v>
      </c>
      <c r="U38" s="35">
        <f t="shared" ca="1" si="10"/>
        <v>31291.212871200674</v>
      </c>
      <c r="V38" s="35">
        <f t="shared" ca="1" si="10"/>
        <v>30956.804102384118</v>
      </c>
      <c r="W38" s="35">
        <f t="shared" ca="1" si="10"/>
        <v>30625.969155557828</v>
      </c>
      <c r="X38" s="35">
        <f t="shared" ca="1" si="10"/>
        <v>30298.669837334535</v>
      </c>
      <c r="Y38" s="35"/>
      <c r="Z38" s="35">
        <f ca="1">X14*$Z$27*A38*B38</f>
        <v>334800.3017025466</v>
      </c>
      <c r="AD38" s="35"/>
    </row>
    <row r="39" spans="1:30">
      <c r="E39" s="35"/>
      <c r="F39" s="35"/>
      <c r="G39" s="35"/>
      <c r="H39" s="35"/>
      <c r="I39" s="35"/>
      <c r="J39" s="35"/>
      <c r="K39" s="35"/>
      <c r="L39" s="35"/>
      <c r="M39" s="35"/>
      <c r="N39" s="35"/>
      <c r="O39" s="35"/>
      <c r="P39" s="35"/>
      <c r="Q39" s="35"/>
      <c r="R39" s="35"/>
      <c r="S39" s="35"/>
      <c r="T39" s="35"/>
      <c r="U39" s="35"/>
      <c r="V39" s="35"/>
      <c r="W39" s="35"/>
      <c r="X39" s="35"/>
      <c r="Y39" s="35"/>
    </row>
    <row r="40" spans="1:30">
      <c r="E40" s="35">
        <f t="shared" ref="E40:X40" ca="1" si="11">SUM(E37:E38)</f>
        <v>206554.9107526585</v>
      </c>
      <c r="F40" s="35">
        <f t="shared" ca="1" si="11"/>
        <v>205773.11839613924</v>
      </c>
      <c r="G40" s="35">
        <f t="shared" ca="1" si="11"/>
        <v>204996.44368829165</v>
      </c>
      <c r="H40" s="35">
        <f t="shared" ca="1" si="11"/>
        <v>204224.83928820031</v>
      </c>
      <c r="I40" s="35">
        <f t="shared" ca="1" si="11"/>
        <v>203458.25834418827</v>
      </c>
      <c r="J40" s="35">
        <f t="shared" ca="1" si="11"/>
        <v>202696.65448862646</v>
      </c>
      <c r="K40" s="35">
        <f t="shared" ca="1" si="11"/>
        <v>201939.98183279842</v>
      </c>
      <c r="L40" s="35">
        <f t="shared" ca="1" si="11"/>
        <v>201188.19496182015</v>
      </c>
      <c r="M40" s="35">
        <f t="shared" ca="1" si="11"/>
        <v>200441.24892961365</v>
      </c>
      <c r="N40" s="35">
        <f t="shared" ca="1" si="11"/>
        <v>199699.09925393455</v>
      </c>
      <c r="O40" s="35">
        <f t="shared" ca="1" si="11"/>
        <v>198961.70191145243</v>
      </c>
      <c r="P40" s="35">
        <f t="shared" ca="1" si="11"/>
        <v>198229.01333288394</v>
      </c>
      <c r="Q40" s="35">
        <f t="shared" ca="1" si="11"/>
        <v>197500.9903981777</v>
      </c>
      <c r="R40" s="35">
        <f t="shared" ca="1" si="11"/>
        <v>196777.59043175052</v>
      </c>
      <c r="S40" s="35">
        <f t="shared" ca="1" si="11"/>
        <v>196058.77119777459</v>
      </c>
      <c r="T40" s="35">
        <f t="shared" ca="1" si="11"/>
        <v>195344.49089551478</v>
      </c>
      <c r="U40" s="35">
        <f t="shared" ca="1" si="11"/>
        <v>194634.70815471589</v>
      </c>
      <c r="V40" s="35">
        <f t="shared" ca="1" si="11"/>
        <v>193929.3820310389</v>
      </c>
      <c r="W40" s="35">
        <f t="shared" ca="1" si="11"/>
        <v>193228.47200154609</v>
      </c>
      <c r="X40" s="35">
        <f t="shared" ca="1" si="11"/>
        <v>192531.93796023433</v>
      </c>
      <c r="Y40" s="35"/>
      <c r="Z40" s="35">
        <f ca="1">SUM(E40:X40)</f>
        <v>3988169.8082513609</v>
      </c>
      <c r="AD40" s="35"/>
    </row>
    <row r="41" spans="1:30">
      <c r="E41" s="35"/>
      <c r="F41" s="35"/>
      <c r="G41" s="35"/>
      <c r="H41" s="35"/>
      <c r="I41" s="35"/>
      <c r="J41" s="35"/>
      <c r="K41" s="35"/>
      <c r="L41" s="35"/>
      <c r="M41" s="35"/>
      <c r="N41" s="35"/>
      <c r="O41" s="35"/>
      <c r="P41" s="35"/>
      <c r="Q41" s="35"/>
      <c r="R41" s="35"/>
      <c r="S41" s="35"/>
      <c r="T41" s="35"/>
      <c r="U41" s="35"/>
      <c r="V41" s="35"/>
      <c r="W41" s="35"/>
      <c r="X41" s="35"/>
      <c r="Y41" s="35"/>
      <c r="Z41" s="35"/>
      <c r="AD41" s="35"/>
    </row>
    <row r="42" spans="1:30" ht="15">
      <c r="A42" s="65" t="s">
        <v>62</v>
      </c>
      <c r="B42" s="65" t="s">
        <v>151</v>
      </c>
      <c r="C42" s="65" t="s">
        <v>463</v>
      </c>
      <c r="D42" s="65" t="str">
        <f>CONCATENATE(C8," - ","NEW")</f>
        <v>HPWH - NEW</v>
      </c>
      <c r="E42" s="169">
        <v>2016</v>
      </c>
      <c r="F42" s="170">
        <v>2017</v>
      </c>
      <c r="G42" s="170">
        <v>2018</v>
      </c>
      <c r="H42" s="170">
        <v>2019</v>
      </c>
      <c r="I42" s="170">
        <v>2020</v>
      </c>
      <c r="J42" s="170">
        <v>2021</v>
      </c>
      <c r="K42" s="170">
        <v>2022</v>
      </c>
      <c r="L42" s="170">
        <v>2023</v>
      </c>
      <c r="M42" s="170">
        <v>2024</v>
      </c>
      <c r="N42" s="170">
        <v>2025</v>
      </c>
      <c r="O42" s="170">
        <v>2026</v>
      </c>
      <c r="P42" s="170">
        <v>2027</v>
      </c>
      <c r="Q42" s="170">
        <v>2028</v>
      </c>
      <c r="R42" s="170">
        <v>2029</v>
      </c>
      <c r="S42" s="170">
        <v>2030</v>
      </c>
      <c r="T42" s="170">
        <v>2031</v>
      </c>
      <c r="U42" s="170">
        <v>2032</v>
      </c>
      <c r="V42" s="170">
        <v>2033</v>
      </c>
      <c r="W42" s="170">
        <v>2034</v>
      </c>
      <c r="X42" s="170">
        <v>2035</v>
      </c>
      <c r="Y42" s="171"/>
    </row>
    <row r="43" spans="1:30">
      <c r="A43" s="57">
        <f>INDEX([2]!ResApplic,MATCH($D$42,[2]APPLIC!$B$9:$B$120,0)+1,MATCH($D43,[2]APPLIC!$C$8:$F$8,0)+1)</f>
        <v>0.94904999999999995</v>
      </c>
      <c r="B43" s="57">
        <f>VLOOKUP(D43,'HVAC weighting'!$A$16:$B$20,2,FALSE)</f>
        <v>0.55200000000000005</v>
      </c>
      <c r="C43" s="57">
        <f>VLOOKUP($D$42,[2]TURN!$B$10:$F$78,MATCH(D43,$D$43:$D$44,0)+1,FALSE)</f>
        <v>1</v>
      </c>
      <c r="D43" s="7" t="str">
        <f>D37</f>
        <v>Single Family</v>
      </c>
      <c r="E43" s="35">
        <f t="shared" ref="E43:X43" si="12">E21*$C43*$A43*$B43</f>
        <v>0</v>
      </c>
      <c r="F43" s="35">
        <f>F21*$C43*$A43*$B43</f>
        <v>0</v>
      </c>
      <c r="G43" s="35">
        <f t="shared" si="12"/>
        <v>0</v>
      </c>
      <c r="H43" s="35">
        <f t="shared" si="12"/>
        <v>0</v>
      </c>
      <c r="I43" s="35">
        <f t="shared" si="12"/>
        <v>0</v>
      </c>
      <c r="J43" s="35">
        <f t="shared" si="12"/>
        <v>0</v>
      </c>
      <c r="K43" s="35">
        <f t="shared" si="12"/>
        <v>0</v>
      </c>
      <c r="L43" s="35">
        <f t="shared" si="12"/>
        <v>0</v>
      </c>
      <c r="M43" s="35">
        <f t="shared" si="12"/>
        <v>0</v>
      </c>
      <c r="N43" s="35">
        <f t="shared" si="12"/>
        <v>0</v>
      </c>
      <c r="O43" s="35">
        <f t="shared" si="12"/>
        <v>0</v>
      </c>
      <c r="P43" s="35">
        <f t="shared" si="12"/>
        <v>0</v>
      </c>
      <c r="Q43" s="35">
        <f t="shared" si="12"/>
        <v>0</v>
      </c>
      <c r="R43" s="35">
        <f ca="1">R21*$C43*$A43*$B43</f>
        <v>32692.987809211591</v>
      </c>
      <c r="S43" s="35">
        <f t="shared" ca="1" si="12"/>
        <v>31051.975140743609</v>
      </c>
      <c r="T43" s="35">
        <f t="shared" ca="1" si="12"/>
        <v>29014.49784473599</v>
      </c>
      <c r="U43" s="35">
        <f t="shared" ca="1" si="12"/>
        <v>27363.418123920608</v>
      </c>
      <c r="V43" s="35">
        <f t="shared" ca="1" si="12"/>
        <v>25557.45506766926</v>
      </c>
      <c r="W43" s="35">
        <f t="shared" ca="1" si="12"/>
        <v>22923.139409779822</v>
      </c>
      <c r="X43" s="35">
        <f t="shared" ca="1" si="12"/>
        <v>20517.590977932017</v>
      </c>
      <c r="Y43" s="35"/>
      <c r="Z43" s="35">
        <f ca="1">SUM(E43:X43)*$Z$27</f>
        <v>160752.90471789398</v>
      </c>
      <c r="AD43" s="35"/>
    </row>
    <row r="44" spans="1:30">
      <c r="A44" s="57">
        <f>INDEX([2]!ResApplic,MATCH($D$42,[2]APPLIC!$B$9:$B$120,0)+1,MATCH($D44,[2]APPLIC!$C$8:$F$8,0)+1)</f>
        <v>0.95</v>
      </c>
      <c r="B44" s="57">
        <f>VLOOKUP(D44,'HVAC weighting'!$A$16:$B$20,2,FALSE)</f>
        <v>0.88900000000000001</v>
      </c>
      <c r="C44" s="57">
        <f>VLOOKUP($D$42,[2]TURN!$B$10:$F$78,MATCH(D44,$D$43:$D$44,0)+1,FALSE)</f>
        <v>1</v>
      </c>
      <c r="D44" s="7" t="str">
        <f t="shared" ref="D44" si="13">D38</f>
        <v>Manufactured</v>
      </c>
      <c r="E44" s="35">
        <f t="shared" ref="E44:X44" si="14">E22*$C44*$A44*$B44</f>
        <v>0</v>
      </c>
      <c r="F44" s="35">
        <f t="shared" si="14"/>
        <v>0</v>
      </c>
      <c r="G44" s="35">
        <f t="shared" si="14"/>
        <v>0</v>
      </c>
      <c r="H44" s="35">
        <f t="shared" si="14"/>
        <v>0</v>
      </c>
      <c r="I44" s="35">
        <f t="shared" si="14"/>
        <v>0</v>
      </c>
      <c r="J44" s="35">
        <f t="shared" si="14"/>
        <v>0</v>
      </c>
      <c r="K44" s="35">
        <f t="shared" si="14"/>
        <v>0</v>
      </c>
      <c r="L44" s="35">
        <f t="shared" si="14"/>
        <v>0</v>
      </c>
      <c r="M44" s="35">
        <f t="shared" si="14"/>
        <v>0</v>
      </c>
      <c r="N44" s="35">
        <f t="shared" si="14"/>
        <v>0</v>
      </c>
      <c r="O44" s="35">
        <f t="shared" si="14"/>
        <v>0</v>
      </c>
      <c r="P44" s="35">
        <f t="shared" si="14"/>
        <v>0</v>
      </c>
      <c r="Q44" s="35">
        <f t="shared" si="14"/>
        <v>0</v>
      </c>
      <c r="R44" s="35">
        <f t="shared" ca="1" si="14"/>
        <v>1571.8965336600943</v>
      </c>
      <c r="S44" s="35">
        <f t="shared" ca="1" si="14"/>
        <v>1571.0118648294065</v>
      </c>
      <c r="T44" s="35">
        <f t="shared" ca="1" si="14"/>
        <v>1604.1104287376565</v>
      </c>
      <c r="U44" s="35">
        <f t="shared" ca="1" si="14"/>
        <v>1621.4642799208486</v>
      </c>
      <c r="V44" s="35">
        <f t="shared" ca="1" si="14"/>
        <v>1508.7070028915266</v>
      </c>
      <c r="W44" s="35">
        <f t="shared" ca="1" si="14"/>
        <v>1397.7164060431548</v>
      </c>
      <c r="X44" s="35">
        <f t="shared" ca="1" si="14"/>
        <v>1291.0264437748615</v>
      </c>
      <c r="Y44" s="35"/>
      <c r="Z44" s="35">
        <f ca="1">SUM(E44:X44)*$Z$27</f>
        <v>8981.043015878915</v>
      </c>
      <c r="AD44" s="35"/>
    </row>
    <row r="45" spans="1:30">
      <c r="E45" s="35"/>
      <c r="F45" s="35"/>
      <c r="G45" s="35"/>
      <c r="H45" s="35"/>
      <c r="I45" s="35"/>
      <c r="J45" s="35"/>
      <c r="K45" s="35"/>
      <c r="L45" s="35"/>
      <c r="M45" s="35"/>
      <c r="N45" s="35"/>
      <c r="O45" s="35"/>
      <c r="P45" s="35"/>
      <c r="Q45" s="35"/>
      <c r="R45" s="35"/>
      <c r="S45" s="35"/>
      <c r="T45" s="35"/>
      <c r="U45" s="35"/>
      <c r="V45" s="35"/>
      <c r="W45" s="35"/>
      <c r="X45" s="35"/>
      <c r="Y45" s="35"/>
    </row>
    <row r="46" spans="1:30">
      <c r="E46" s="35">
        <f t="shared" ref="E46:X46" si="15">SUM(E43:E44)</f>
        <v>0</v>
      </c>
      <c r="F46" s="35">
        <f t="shared" si="15"/>
        <v>0</v>
      </c>
      <c r="G46" s="35">
        <f t="shared" si="15"/>
        <v>0</v>
      </c>
      <c r="H46" s="35">
        <f t="shared" si="15"/>
        <v>0</v>
      </c>
      <c r="I46" s="35">
        <f t="shared" si="15"/>
        <v>0</v>
      </c>
      <c r="J46" s="35">
        <f t="shared" si="15"/>
        <v>0</v>
      </c>
      <c r="K46" s="35">
        <f t="shared" si="15"/>
        <v>0</v>
      </c>
      <c r="L46" s="35">
        <f t="shared" si="15"/>
        <v>0</v>
      </c>
      <c r="M46" s="35">
        <f t="shared" si="15"/>
        <v>0</v>
      </c>
      <c r="N46" s="35">
        <f t="shared" si="15"/>
        <v>0</v>
      </c>
      <c r="O46" s="35">
        <f t="shared" si="15"/>
        <v>0</v>
      </c>
      <c r="P46" s="35">
        <f t="shared" si="15"/>
        <v>0</v>
      </c>
      <c r="Q46" s="35">
        <f t="shared" si="15"/>
        <v>0</v>
      </c>
      <c r="R46" s="35">
        <f ca="1">SUM(R43:R44)</f>
        <v>34264.884342871686</v>
      </c>
      <c r="S46" s="35">
        <f ca="1">SUM(S43:S44)</f>
        <v>32622.987005573013</v>
      </c>
      <c r="T46" s="35">
        <f t="shared" ca="1" si="15"/>
        <v>30618.608273473648</v>
      </c>
      <c r="U46" s="35">
        <f t="shared" ca="1" si="15"/>
        <v>28984.882403841457</v>
      </c>
      <c r="V46" s="35">
        <f t="shared" ca="1" si="15"/>
        <v>27066.162070560786</v>
      </c>
      <c r="W46" s="35">
        <f t="shared" ca="1" si="15"/>
        <v>24320.855815822975</v>
      </c>
      <c r="X46" s="35">
        <f t="shared" ca="1" si="15"/>
        <v>21808.61742170688</v>
      </c>
      <c r="Y46" s="35"/>
      <c r="Z46" s="35">
        <f ca="1">SUM(E46:X46)*$Z$27</f>
        <v>169733.94773377289</v>
      </c>
      <c r="AD46" s="35"/>
    </row>
    <row r="47" spans="1:30">
      <c r="E47" s="35"/>
      <c r="F47" s="35"/>
      <c r="G47" s="35"/>
      <c r="H47" s="35"/>
      <c r="I47" s="35"/>
      <c r="J47" s="35"/>
      <c r="K47" s="35"/>
      <c r="L47" s="35"/>
      <c r="M47" s="35"/>
      <c r="N47" s="35"/>
      <c r="O47" s="35"/>
      <c r="P47" s="35"/>
      <c r="Q47" s="35"/>
      <c r="R47" s="35"/>
      <c r="S47" s="35"/>
      <c r="T47" s="35"/>
      <c r="U47" s="35"/>
      <c r="V47" s="35"/>
      <c r="W47" s="35"/>
      <c r="X47" s="35"/>
      <c r="Y47" s="35"/>
      <c r="Z47" s="35"/>
      <c r="AD47" s="35"/>
    </row>
    <row r="48" spans="1:30" ht="15">
      <c r="E48" s="65" t="s">
        <v>64</v>
      </c>
      <c r="F48" s="35"/>
      <c r="G48" s="35"/>
      <c r="H48" s="35"/>
      <c r="I48" s="35"/>
      <c r="J48" s="35"/>
      <c r="K48" s="35"/>
      <c r="L48" s="35"/>
      <c r="M48" s="35"/>
      <c r="N48" s="35"/>
      <c r="O48" s="35"/>
      <c r="P48" s="35"/>
      <c r="Q48" s="35"/>
      <c r="R48" s="35"/>
      <c r="S48" s="35"/>
      <c r="T48" s="35"/>
      <c r="U48" s="35"/>
      <c r="V48" s="35"/>
      <c r="W48" s="35"/>
      <c r="X48" s="35"/>
      <c r="Y48" s="35"/>
    </row>
    <row r="49" spans="1:29" ht="15">
      <c r="A49" s="56" t="s">
        <v>464</v>
      </c>
      <c r="D49" s="65" t="str">
        <f>D36</f>
        <v>HPWH - NR</v>
      </c>
      <c r="E49" s="69">
        <f>VLOOKUP($D$36,[2]ACHIEV!$B$9:$X$79,MATCH(E$11,$E$11:$Y$11,0)+2,FALSE)</f>
        <v>5.5320496977002724E-3</v>
      </c>
      <c r="F49" s="69">
        <f>VLOOKUP($D$36,[2]ACHIEV!$B$9:$X$79,MATCH(F$11,$E$11:$Y$11,0)+2,FALSE)</f>
        <v>1.4227918344261844E-2</v>
      </c>
      <c r="G49" s="69">
        <f>VLOOKUP($D$36,[2]ACHIEV!$B$9:$X$79,MATCH(G$11,$E$11:$Y$11,0)+2,FALSE)</f>
        <v>3.1619655637384989E-2</v>
      </c>
      <c r="H49" s="69">
        <f>VLOOKUP($D$36,[2]ACHIEV!$B$9:$X$79,MATCH(H$11,$E$11:$Y$11,0)+2,FALSE)</f>
        <v>6.2055195900350503E-2</v>
      </c>
      <c r="I49" s="69">
        <f>VLOOKUP($D$36,[2]ACHIEV!$B$9:$X$79,MATCH(I$11,$E$11:$Y$11,0)+2,FALSE)</f>
        <v>0.10939936964274129</v>
      </c>
      <c r="J49" s="69">
        <f>VLOOKUP($D$36,[2]ACHIEV!$B$9:$X$79,MATCH(J$11,$E$11:$Y$11,0)+2,FALSE)</f>
        <v>0.17568121288208835</v>
      </c>
      <c r="K49" s="69">
        <f>VLOOKUP($D$36,[2]ACHIEV!$B$9:$X$79,MATCH(K$11,$E$11:$Y$11,0)+2,FALSE)</f>
        <v>0.26003992245943919</v>
      </c>
      <c r="L49" s="69">
        <f>VLOOKUP($D$36,[2]ACHIEV!$B$9:$X$79,MATCH(L$11,$E$11:$Y$11,0)+2,FALSE)</f>
        <v>0.3584584169663485</v>
      </c>
      <c r="M49" s="69">
        <f>VLOOKUP($D$36,[2]ACHIEV!$B$9:$X$79,MATCH(M$11,$E$11:$Y$11,0)+2,FALSE)</f>
        <v>0.46444756489686617</v>
      </c>
      <c r="N49" s="69">
        <f>VLOOKUP($D$36,[2]ACHIEV!$B$9:$X$79,MATCH(N$11,$E$11:$Y$11,0)+2,FALSE)</f>
        <v>0.57043671282738384</v>
      </c>
      <c r="O49" s="69">
        <f>VLOOKUP($D$36,[2]ACHIEV!$B$9:$X$79,MATCH(O$11,$E$11:$Y$11,0)+2,FALSE)</f>
        <v>0.66935991756253377</v>
      </c>
      <c r="P49" s="69">
        <f>VLOOKUP($D$36,[2]ACHIEV!$B$9:$X$79,MATCH(P$11,$E$11:$Y$11,0)+2,FALSE)</f>
        <v>0.75591772170578986</v>
      </c>
      <c r="Q49" s="69">
        <f>VLOOKUP($D$36,[2]ACHIEV!$B$9:$X$79,MATCH(Q$11,$E$11:$Y$11,0)+2,FALSE)</f>
        <v>0.82720061923553012</v>
      </c>
      <c r="R49" s="69">
        <f>VLOOKUP($D$36,[2]ACHIEV!$B$9:$X$79,MATCH(R$11,$E$11:$Y$11,0)+2,FALSE)</f>
        <v>0.88264287286977261</v>
      </c>
      <c r="S49" s="69">
        <f>VLOOKUP($D$36,[2]ACHIEV!$B$9:$X$79,MATCH(S$11,$E$11:$Y$11,0)+2,FALSE)</f>
        <v>0.92349505975816193</v>
      </c>
      <c r="T49" s="69">
        <f>VLOOKUP($D$36,[2]ACHIEV!$B$9:$X$79,MATCH(T$11,$E$11:$Y$11,0)+2,FALSE)</f>
        <v>0.95209159058003434</v>
      </c>
      <c r="U49" s="69">
        <f>VLOOKUP($D$36,[2]ACHIEV!$B$9:$X$79,MATCH(U$11,$E$11:$Y$11,0)+2,FALSE)</f>
        <v>0.97115594446128262</v>
      </c>
      <c r="V49" s="69">
        <f>VLOOKUP($D$36,[2]ACHIEV!$B$9:$X$79,MATCH(V$11,$E$11:$Y$11,0)+2,FALSE)</f>
        <v>0.98328780602207699</v>
      </c>
      <c r="W49" s="69">
        <f>VLOOKUP($D$36,[2]ACHIEV!$B$9:$X$79,MATCH(W$11,$E$11:$Y$11,0)+2,FALSE)</f>
        <v>0.99067241740690848</v>
      </c>
      <c r="X49" s="69">
        <f>VLOOKUP($D$36,[2]ACHIEV!$B$9:$X$79,MATCH(X$11,$E$11:$Y$11,0)+2,FALSE)</f>
        <v>0.99498010738139331</v>
      </c>
      <c r="Y49" s="69"/>
    </row>
    <row r="50" spans="1:29">
      <c r="D50" s="7" t="str">
        <f>C21</f>
        <v>Single Family</v>
      </c>
      <c r="E50" s="35">
        <f ca="1">(E37+E43)*E$49*$Z$27</f>
        <v>796.53303160351436</v>
      </c>
      <c r="F50" s="35">
        <f t="shared" ref="F50:X50" ca="1" si="16">(F37+F43)*F$49*$Z$27</f>
        <v>2043.9570809763266</v>
      </c>
      <c r="G50" s="35">
        <f t="shared" ca="1" si="16"/>
        <v>4532.1078358543182</v>
      </c>
      <c r="H50" s="35">
        <f t="shared" ca="1" si="16"/>
        <v>8874.2966202273237</v>
      </c>
      <c r="I50" s="35">
        <f t="shared" ca="1" si="16"/>
        <v>15609.295423615024</v>
      </c>
      <c r="J50" s="35">
        <f t="shared" ca="1" si="16"/>
        <v>25009.585416864422</v>
      </c>
      <c r="K50" s="35">
        <f t="shared" ca="1" si="16"/>
        <v>36934.641679238302</v>
      </c>
      <c r="L50" s="35">
        <f t="shared" ca="1" si="16"/>
        <v>50797.850492408958</v>
      </c>
      <c r="M50" s="35">
        <f t="shared" ca="1" si="16"/>
        <v>65668.324264855823</v>
      </c>
      <c r="N50" s="35">
        <f t="shared" ca="1" si="16"/>
        <v>80471.000913259559</v>
      </c>
      <c r="O50" s="35">
        <f t="shared" ca="1" si="16"/>
        <v>94211.588810707166</v>
      </c>
      <c r="P50" s="35">
        <f t="shared" ca="1" si="16"/>
        <v>106152.89513261446</v>
      </c>
      <c r="Q50" s="35">
        <f t="shared" ca="1" si="16"/>
        <v>115899.31199469895</v>
      </c>
      <c r="R50" s="35">
        <f ca="1">(R37+R43)*R$49*$Z$27</f>
        <v>147914.31807649115</v>
      </c>
      <c r="S50" s="35">
        <f t="shared" ca="1" si="16"/>
        <v>153179.07617560762</v>
      </c>
      <c r="T50" s="35">
        <f t="shared" ca="1" si="16"/>
        <v>155971.92187632181</v>
      </c>
      <c r="U50" s="35">
        <f t="shared" ca="1" si="16"/>
        <v>157425.22971467022</v>
      </c>
      <c r="V50" s="35">
        <f t="shared" ca="1" si="16"/>
        <v>157572.39013709148</v>
      </c>
      <c r="W50" s="35">
        <f t="shared" ca="1" si="16"/>
        <v>156225.8660288174</v>
      </c>
      <c r="X50" s="35">
        <f t="shared" ca="1" si="16"/>
        <v>154558.44900035937</v>
      </c>
      <c r="Y50" s="35"/>
    </row>
    <row r="51" spans="1:29">
      <c r="D51" s="7" t="str">
        <f>C22</f>
        <v>Manufactured</v>
      </c>
      <c r="E51" s="35">
        <f t="shared" ref="E51:X51" ca="1" si="17">(E38+E44)*E$49*$Z$27</f>
        <v>174.73819524607404</v>
      </c>
      <c r="F51" s="35">
        <f t="shared" ca="1" si="17"/>
        <v>444.60757611040816</v>
      </c>
      <c r="G51" s="35">
        <f t="shared" ca="1" si="17"/>
        <v>977.52157701119268</v>
      </c>
      <c r="H51" s="35">
        <f t="shared" ca="1" si="17"/>
        <v>1897.9339280575155</v>
      </c>
      <c r="I51" s="35">
        <f t="shared" ca="1" si="17"/>
        <v>3310.1790061295515</v>
      </c>
      <c r="J51" s="35">
        <f t="shared" ca="1" si="17"/>
        <v>5258.9095746835492</v>
      </c>
      <c r="K51" s="35">
        <f t="shared" ca="1" si="17"/>
        <v>7700.9469554339357</v>
      </c>
      <c r="L51" s="35">
        <f t="shared" ca="1" si="17"/>
        <v>10502.111104172505</v>
      </c>
      <c r="M51" s="35">
        <f t="shared" ca="1" si="17"/>
        <v>13461.958209852972</v>
      </c>
      <c r="N51" s="35">
        <f t="shared" ca="1" si="17"/>
        <v>16357.342159793732</v>
      </c>
      <c r="O51" s="35">
        <f t="shared" ca="1" si="17"/>
        <v>18988.851320411373</v>
      </c>
      <c r="P51" s="35">
        <f t="shared" ca="1" si="17"/>
        <v>21215.20538177876</v>
      </c>
      <c r="Q51" s="35">
        <f t="shared" ca="1" si="17"/>
        <v>22967.688328753684</v>
      </c>
      <c r="R51" s="35">
        <f t="shared" ca="1" si="17"/>
        <v>25424.47656002119</v>
      </c>
      <c r="S51" s="35">
        <f t="shared" ca="1" si="17"/>
        <v>26329.426688354088</v>
      </c>
      <c r="T51" s="35">
        <f t="shared" ca="1" si="17"/>
        <v>26895.009648844993</v>
      </c>
      <c r="U51" s="35">
        <f t="shared" ca="1" si="17"/>
        <v>27168.840753929693</v>
      </c>
      <c r="V51" s="35">
        <f t="shared" ca="1" si="17"/>
        <v>27134.500008178082</v>
      </c>
      <c r="W51" s="35">
        <f t="shared" ca="1" si="17"/>
        <v>26966.234691151461</v>
      </c>
      <c r="X51" s="35">
        <f t="shared" ca="1" si="17"/>
        <v>26716.451488235256</v>
      </c>
      <c r="Y51" s="35"/>
    </row>
    <row r="53" spans="1:29">
      <c r="E53" s="35">
        <f t="shared" ref="E53:X53" ca="1" si="18">SUM(E50:E51)</f>
        <v>971.2712268495884</v>
      </c>
      <c r="F53" s="35">
        <f t="shared" ca="1" si="18"/>
        <v>2488.5646570867348</v>
      </c>
      <c r="G53" s="35">
        <f t="shared" ca="1" si="18"/>
        <v>5509.6294128655109</v>
      </c>
      <c r="H53" s="35">
        <f t="shared" ca="1" si="18"/>
        <v>10772.230548284839</v>
      </c>
      <c r="I53" s="35">
        <f t="shared" ca="1" si="18"/>
        <v>18919.474429744576</v>
      </c>
      <c r="J53" s="35">
        <f t="shared" ca="1" si="18"/>
        <v>30268.49499154797</v>
      </c>
      <c r="K53" s="35">
        <f t="shared" ca="1" si="18"/>
        <v>44635.58863467224</v>
      </c>
      <c r="L53" s="35">
        <f t="shared" ca="1" si="18"/>
        <v>61299.961596581459</v>
      </c>
      <c r="M53" s="35">
        <f t="shared" ca="1" si="18"/>
        <v>79130.282474708802</v>
      </c>
      <c r="N53" s="35">
        <f t="shared" ca="1" si="18"/>
        <v>96828.343073053285</v>
      </c>
      <c r="O53" s="35">
        <f t="shared" ca="1" si="18"/>
        <v>113200.44013111854</v>
      </c>
      <c r="P53" s="35">
        <f t="shared" ca="1" si="18"/>
        <v>127368.10051439321</v>
      </c>
      <c r="Q53" s="35">
        <f t="shared" ca="1" si="18"/>
        <v>138867.00032345264</v>
      </c>
      <c r="R53" s="35">
        <f t="shared" ca="1" si="18"/>
        <v>173338.79463651235</v>
      </c>
      <c r="S53" s="35">
        <f t="shared" ca="1" si="18"/>
        <v>179508.50286396171</v>
      </c>
      <c r="T53" s="35">
        <f t="shared" ca="1" si="18"/>
        <v>182866.93152516679</v>
      </c>
      <c r="U53" s="35">
        <f t="shared" ca="1" si="18"/>
        <v>184594.07046859991</v>
      </c>
      <c r="V53" s="35">
        <f t="shared" ca="1" si="18"/>
        <v>184706.89014526957</v>
      </c>
      <c r="W53" s="35">
        <f t="shared" ca="1" si="18"/>
        <v>183192.10071996885</v>
      </c>
      <c r="X53" s="35">
        <f t="shared" ca="1" si="18"/>
        <v>181274.90048859463</v>
      </c>
      <c r="Y53" s="35"/>
    </row>
    <row r="54" spans="1:29">
      <c r="E54" s="35"/>
      <c r="F54" s="35"/>
      <c r="G54" s="35"/>
      <c r="H54" s="35"/>
      <c r="I54" s="35"/>
      <c r="J54" s="35"/>
      <c r="K54" s="35"/>
      <c r="L54" s="35"/>
      <c r="M54" s="35"/>
      <c r="N54" s="35"/>
      <c r="O54" s="35"/>
      <c r="P54" s="35"/>
      <c r="Q54" s="35"/>
      <c r="R54" s="35"/>
      <c r="S54" s="35"/>
      <c r="T54" s="35"/>
      <c r="U54" s="35"/>
      <c r="V54" s="35"/>
      <c r="W54" s="35"/>
      <c r="X54" s="35"/>
      <c r="Y54" s="35"/>
    </row>
    <row r="56" spans="1:29" ht="15">
      <c r="A56" s="56" t="s">
        <v>465</v>
      </c>
      <c r="D56" s="65" t="str">
        <f>D36</f>
        <v>HPWH - NR</v>
      </c>
      <c r="E56" s="65">
        <v>1</v>
      </c>
      <c r="F56" s="65">
        <v>2</v>
      </c>
      <c r="G56" s="65">
        <v>3</v>
      </c>
      <c r="H56" s="65">
        <v>4</v>
      </c>
      <c r="I56" s="65">
        <v>5</v>
      </c>
      <c r="J56" s="65">
        <v>6</v>
      </c>
      <c r="K56" s="65">
        <v>7</v>
      </c>
      <c r="L56" s="65">
        <v>8</v>
      </c>
      <c r="M56" s="65">
        <v>9</v>
      </c>
      <c r="N56" s="65">
        <v>10</v>
      </c>
      <c r="O56" s="65">
        <v>11</v>
      </c>
      <c r="P56" s="65">
        <v>12</v>
      </c>
      <c r="Q56" s="65">
        <v>13</v>
      </c>
      <c r="R56" s="65">
        <v>14</v>
      </c>
      <c r="S56" s="65">
        <v>15</v>
      </c>
      <c r="T56" s="65">
        <v>16</v>
      </c>
      <c r="U56" s="65">
        <v>17</v>
      </c>
      <c r="V56" s="65">
        <v>18</v>
      </c>
      <c r="W56" s="65">
        <v>19</v>
      </c>
      <c r="X56" s="65">
        <v>20</v>
      </c>
      <c r="Y56" s="65"/>
    </row>
    <row r="57" spans="1:29">
      <c r="D57" s="7" t="str">
        <f>D50</f>
        <v>Single Family</v>
      </c>
      <c r="E57" s="35">
        <f ca="1">E50</f>
        <v>796.53303160351436</v>
      </c>
      <c r="F57" s="35">
        <f t="shared" ref="F57:W57" ca="1" si="19">E57+F50</f>
        <v>2840.490112579841</v>
      </c>
      <c r="G57" s="35">
        <f t="shared" ca="1" si="19"/>
        <v>7372.5979484341588</v>
      </c>
      <c r="H57" s="35">
        <f t="shared" ca="1" si="19"/>
        <v>16246.894568661482</v>
      </c>
      <c r="I57" s="35">
        <f t="shared" ca="1" si="19"/>
        <v>31856.189992276508</v>
      </c>
      <c r="J57" s="35">
        <f t="shared" ca="1" si="19"/>
        <v>56865.77540914093</v>
      </c>
      <c r="K57" s="35">
        <f t="shared" ca="1" si="19"/>
        <v>93800.417088379239</v>
      </c>
      <c r="L57" s="35">
        <f t="shared" ca="1" si="19"/>
        <v>144598.2675807882</v>
      </c>
      <c r="M57" s="35">
        <f t="shared" ca="1" si="19"/>
        <v>210266.59184564403</v>
      </c>
      <c r="N57" s="35">
        <f t="shared" ca="1" si="19"/>
        <v>290737.59275890357</v>
      </c>
      <c r="O57" s="35">
        <f t="shared" ca="1" si="19"/>
        <v>384949.18156961072</v>
      </c>
      <c r="P57" s="35">
        <f t="shared" ca="1" si="19"/>
        <v>491102.0767022252</v>
      </c>
      <c r="Q57" s="35">
        <f t="shared" ca="1" si="19"/>
        <v>607001.38869692408</v>
      </c>
      <c r="R57" s="35">
        <f t="shared" ca="1" si="19"/>
        <v>754915.70677341521</v>
      </c>
      <c r="S57" s="35">
        <f t="shared" ca="1" si="19"/>
        <v>908094.78294902283</v>
      </c>
      <c r="T57" s="35">
        <f t="shared" ca="1" si="19"/>
        <v>1064066.7048253447</v>
      </c>
      <c r="U57" s="35">
        <f t="shared" ca="1" si="19"/>
        <v>1221491.9345400149</v>
      </c>
      <c r="V57" s="35">
        <f t="shared" ca="1" si="19"/>
        <v>1379064.3246771065</v>
      </c>
      <c r="W57" s="35">
        <f t="shared" ca="1" si="19"/>
        <v>1535290.1907059238</v>
      </c>
      <c r="X57" s="35">
        <f ca="1">W57+X50</f>
        <v>1689848.6397062831</v>
      </c>
      <c r="Y57" s="35"/>
    </row>
    <row r="58" spans="1:29">
      <c r="D58" s="7" t="str">
        <f t="shared" ref="D58:E58" si="20">D51</f>
        <v>Manufactured</v>
      </c>
      <c r="E58" s="35">
        <f t="shared" ca="1" si="20"/>
        <v>174.73819524607404</v>
      </c>
      <c r="F58" s="35">
        <f t="shared" ref="F58:X58" ca="1" si="21">E58+F51</f>
        <v>619.34577135648215</v>
      </c>
      <c r="G58" s="35">
        <f t="shared" ca="1" si="21"/>
        <v>1596.8673483676748</v>
      </c>
      <c r="H58" s="35">
        <f t="shared" ca="1" si="21"/>
        <v>3494.8012764251903</v>
      </c>
      <c r="I58" s="35">
        <f t="shared" ca="1" si="21"/>
        <v>6804.9802825547413</v>
      </c>
      <c r="J58" s="35">
        <f t="shared" ca="1" si="21"/>
        <v>12063.88985723829</v>
      </c>
      <c r="K58" s="35">
        <f t="shared" ca="1" si="21"/>
        <v>19764.836812672227</v>
      </c>
      <c r="L58" s="35">
        <f t="shared" ca="1" si="21"/>
        <v>30266.947916844732</v>
      </c>
      <c r="M58" s="35">
        <f t="shared" ca="1" si="21"/>
        <v>43728.906126697708</v>
      </c>
      <c r="N58" s="35">
        <f t="shared" ca="1" si="21"/>
        <v>60086.248286491442</v>
      </c>
      <c r="O58" s="35">
        <f t="shared" ca="1" si="21"/>
        <v>79075.099606902819</v>
      </c>
      <c r="P58" s="35">
        <f t="shared" ca="1" si="21"/>
        <v>100290.30498868157</v>
      </c>
      <c r="Q58" s="35">
        <f t="shared" ca="1" si="21"/>
        <v>123257.99331743526</v>
      </c>
      <c r="R58" s="35">
        <f t="shared" ca="1" si="21"/>
        <v>148682.46987745646</v>
      </c>
      <c r="S58" s="35">
        <f t="shared" ca="1" si="21"/>
        <v>175011.89656581054</v>
      </c>
      <c r="T58" s="35">
        <f t="shared" ca="1" si="21"/>
        <v>201906.90621465555</v>
      </c>
      <c r="U58" s="35">
        <f t="shared" ca="1" si="21"/>
        <v>229075.74696858524</v>
      </c>
      <c r="V58" s="35">
        <f t="shared" ca="1" si="21"/>
        <v>256210.24697676333</v>
      </c>
      <c r="W58" s="35">
        <f t="shared" ca="1" si="21"/>
        <v>283176.48166791478</v>
      </c>
      <c r="X58" s="35">
        <f t="shared" ca="1" si="21"/>
        <v>309892.93315615004</v>
      </c>
      <c r="Y58" s="35"/>
    </row>
    <row r="60" spans="1:29">
      <c r="E60" s="35">
        <f t="shared" ref="E60:X60" ca="1" si="22">SUM(E57:E58)</f>
        <v>971.2712268495884</v>
      </c>
      <c r="F60" s="35">
        <f t="shared" ca="1" si="22"/>
        <v>3459.8358839363232</v>
      </c>
      <c r="G60" s="35">
        <f t="shared" ca="1" si="22"/>
        <v>8969.4652968018345</v>
      </c>
      <c r="H60" s="35">
        <f t="shared" ca="1" si="22"/>
        <v>19741.695845086673</v>
      </c>
      <c r="I60" s="35">
        <f t="shared" ca="1" si="22"/>
        <v>38661.170274831253</v>
      </c>
      <c r="J60" s="35">
        <f t="shared" ca="1" si="22"/>
        <v>68929.665266379219</v>
      </c>
      <c r="K60" s="35">
        <f t="shared" ca="1" si="22"/>
        <v>113565.25390105147</v>
      </c>
      <c r="L60" s="35">
        <f t="shared" ca="1" si="22"/>
        <v>174865.21549763295</v>
      </c>
      <c r="M60" s="35">
        <f t="shared" ca="1" si="22"/>
        <v>253995.49797234172</v>
      </c>
      <c r="N60" s="35">
        <f t="shared" ca="1" si="22"/>
        <v>350823.84104539501</v>
      </c>
      <c r="O60" s="35">
        <f t="shared" ca="1" si="22"/>
        <v>464024.28117651353</v>
      </c>
      <c r="P60" s="35">
        <f t="shared" ca="1" si="22"/>
        <v>591392.38169090683</v>
      </c>
      <c r="Q60" s="35">
        <f t="shared" ca="1" si="22"/>
        <v>730259.38201435935</v>
      </c>
      <c r="R60" s="35">
        <f t="shared" ca="1" si="22"/>
        <v>903598.17665087164</v>
      </c>
      <c r="S60" s="35">
        <f t="shared" ca="1" si="22"/>
        <v>1083106.6795148333</v>
      </c>
      <c r="T60" s="35">
        <f t="shared" ca="1" si="22"/>
        <v>1265973.6110400003</v>
      </c>
      <c r="U60" s="35">
        <f t="shared" ca="1" si="22"/>
        <v>1450567.6815086002</v>
      </c>
      <c r="V60" s="35">
        <f t="shared" ca="1" si="22"/>
        <v>1635274.5716538697</v>
      </c>
      <c r="W60" s="35">
        <f t="shared" ca="1" si="22"/>
        <v>1818466.6723738387</v>
      </c>
      <c r="X60" s="35">
        <f t="shared" ca="1" si="22"/>
        <v>1999741.5728624333</v>
      </c>
      <c r="Y60" s="35"/>
    </row>
    <row r="61" spans="1:29">
      <c r="E61" s="35"/>
      <c r="F61" s="35"/>
      <c r="G61" s="35"/>
      <c r="H61" s="35"/>
      <c r="I61" s="35"/>
      <c r="J61" s="35"/>
      <c r="K61" s="35"/>
      <c r="L61" s="35"/>
      <c r="M61" s="35"/>
      <c r="N61" s="35"/>
      <c r="O61" s="35"/>
      <c r="P61" s="35"/>
      <c r="Q61" s="35"/>
      <c r="R61" s="35"/>
      <c r="S61" s="35"/>
      <c r="T61" s="35"/>
      <c r="U61" s="35"/>
      <c r="V61" s="35"/>
      <c r="W61" s="35"/>
      <c r="X61" s="35"/>
      <c r="Y61" s="35"/>
    </row>
    <row r="63" spans="1:29" customForma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row>
    <row r="64" spans="1:29" customFormat="1" ht="15">
      <c r="A64" s="56" t="s">
        <v>65</v>
      </c>
      <c r="B64" s="7"/>
      <c r="C64" s="7"/>
      <c r="D64" s="172" t="s">
        <v>456</v>
      </c>
      <c r="E64" s="7" t="s">
        <v>173</v>
      </c>
      <c r="F64" s="7"/>
      <c r="G64" s="7"/>
      <c r="H64" s="7"/>
      <c r="I64" s="7"/>
      <c r="J64" s="7"/>
      <c r="K64" s="7"/>
      <c r="L64" s="7"/>
      <c r="M64" s="7"/>
      <c r="N64" s="7"/>
      <c r="O64" s="7"/>
      <c r="P64" s="7"/>
      <c r="Q64" s="7"/>
      <c r="R64" s="7"/>
      <c r="S64" s="7"/>
      <c r="T64" s="7"/>
      <c r="U64" s="7"/>
      <c r="V64" s="7"/>
      <c r="W64" s="7"/>
      <c r="X64" s="7"/>
      <c r="Y64" s="7"/>
      <c r="Z64" s="7"/>
      <c r="AA64" s="7"/>
      <c r="AB64" s="7"/>
      <c r="AC64" s="7"/>
    </row>
    <row r="65" spans="1:80" customFormat="1" ht="15">
      <c r="A65" s="65" t="s">
        <v>66</v>
      </c>
      <c r="B65" s="65" t="s">
        <v>24</v>
      </c>
      <c r="C65" s="65"/>
      <c r="D65" s="65">
        <v>1</v>
      </c>
      <c r="E65" s="59">
        <f t="shared" ref="E65:X65" si="23">E11</f>
        <v>2016</v>
      </c>
      <c r="F65" s="60">
        <f t="shared" si="23"/>
        <v>2017</v>
      </c>
      <c r="G65" s="60">
        <f t="shared" si="23"/>
        <v>2018</v>
      </c>
      <c r="H65" s="60">
        <f t="shared" si="23"/>
        <v>2019</v>
      </c>
      <c r="I65" s="60">
        <f t="shared" si="23"/>
        <v>2020</v>
      </c>
      <c r="J65" s="60">
        <f t="shared" si="23"/>
        <v>2021</v>
      </c>
      <c r="K65" s="60">
        <f t="shared" si="23"/>
        <v>2022</v>
      </c>
      <c r="L65" s="60">
        <f t="shared" si="23"/>
        <v>2023</v>
      </c>
      <c r="M65" s="60">
        <f t="shared" si="23"/>
        <v>2024</v>
      </c>
      <c r="N65" s="60">
        <f t="shared" si="23"/>
        <v>2025</v>
      </c>
      <c r="O65" s="60">
        <f t="shared" si="23"/>
        <v>2026</v>
      </c>
      <c r="P65" s="60">
        <f t="shared" si="23"/>
        <v>2027</v>
      </c>
      <c r="Q65" s="60">
        <f t="shared" si="23"/>
        <v>2028</v>
      </c>
      <c r="R65" s="60">
        <f t="shared" si="23"/>
        <v>2029</v>
      </c>
      <c r="S65" s="60">
        <f t="shared" si="23"/>
        <v>2030</v>
      </c>
      <c r="T65" s="60">
        <f t="shared" si="23"/>
        <v>2031</v>
      </c>
      <c r="U65" s="60">
        <f t="shared" si="23"/>
        <v>2032</v>
      </c>
      <c r="V65" s="60">
        <f t="shared" si="23"/>
        <v>2033</v>
      </c>
      <c r="W65" s="60">
        <f t="shared" si="23"/>
        <v>2034</v>
      </c>
      <c r="X65" s="60">
        <f t="shared" si="23"/>
        <v>2035</v>
      </c>
      <c r="Y65" s="61" t="s">
        <v>63</v>
      </c>
      <c r="Z65" s="7"/>
      <c r="AA65" s="7"/>
      <c r="AB65" s="7"/>
      <c r="AC65" s="7"/>
    </row>
    <row r="66" spans="1:80" customFormat="1" ht="15">
      <c r="A66" s="65" t="s">
        <v>46</v>
      </c>
      <c r="B66" s="65" t="s">
        <v>67</v>
      </c>
      <c r="C66" s="65" t="s">
        <v>68</v>
      </c>
      <c r="D66" s="65" t="s">
        <v>69</v>
      </c>
      <c r="E66" s="62" t="str">
        <f>CONCATENATE("aMW_",E$11)</f>
        <v>aMW_2016</v>
      </c>
      <c r="F66" s="63" t="str">
        <f t="shared" ref="F66:X66" si="24">CONCATENATE("aMW_",F$11)</f>
        <v>aMW_2017</v>
      </c>
      <c r="G66" s="63" t="str">
        <f t="shared" si="24"/>
        <v>aMW_2018</v>
      </c>
      <c r="H66" s="63" t="str">
        <f t="shared" si="24"/>
        <v>aMW_2019</v>
      </c>
      <c r="I66" s="63" t="str">
        <f t="shared" si="24"/>
        <v>aMW_2020</v>
      </c>
      <c r="J66" s="63" t="str">
        <f t="shared" si="24"/>
        <v>aMW_2021</v>
      </c>
      <c r="K66" s="63" t="str">
        <f t="shared" si="24"/>
        <v>aMW_2022</v>
      </c>
      <c r="L66" s="63" t="str">
        <f t="shared" si="24"/>
        <v>aMW_2023</v>
      </c>
      <c r="M66" s="63" t="str">
        <f t="shared" si="24"/>
        <v>aMW_2024</v>
      </c>
      <c r="N66" s="63" t="str">
        <f t="shared" si="24"/>
        <v>aMW_2025</v>
      </c>
      <c r="O66" s="63" t="str">
        <f t="shared" si="24"/>
        <v>aMW_2026</v>
      </c>
      <c r="P66" s="63" t="str">
        <f t="shared" si="24"/>
        <v>aMW_2027</v>
      </c>
      <c r="Q66" s="63" t="str">
        <f t="shared" si="24"/>
        <v>aMW_2028</v>
      </c>
      <c r="R66" s="63" t="str">
        <f t="shared" si="24"/>
        <v>aMW_2029</v>
      </c>
      <c r="S66" s="63" t="str">
        <f t="shared" si="24"/>
        <v>aMW_2030</v>
      </c>
      <c r="T66" s="63" t="str">
        <f t="shared" si="24"/>
        <v>aMW_2031</v>
      </c>
      <c r="U66" s="63" t="str">
        <f t="shared" si="24"/>
        <v>aMW_2032</v>
      </c>
      <c r="V66" s="63" t="str">
        <f t="shared" si="24"/>
        <v>aMW_2033</v>
      </c>
      <c r="W66" s="63" t="str">
        <f t="shared" si="24"/>
        <v>aMW_2034</v>
      </c>
      <c r="X66" s="63" t="str">
        <f t="shared" si="24"/>
        <v>aMW_2035</v>
      </c>
      <c r="Y66" s="64" t="s">
        <v>63</v>
      </c>
      <c r="Z66" s="7"/>
      <c r="AA66" s="173" t="s">
        <v>284</v>
      </c>
      <c r="AB66" s="173"/>
      <c r="AC66" s="7"/>
    </row>
    <row r="67" spans="1:80">
      <c r="A67" s="58">
        <f t="shared" ref="A67:A90" si="25">VLOOKUP($D67,MeasureOutput,3,FALSE)</f>
        <v>1182.3091174891661</v>
      </c>
      <c r="B67" s="58">
        <f t="shared" ref="B67:B90" si="26">VLOOKUP($D67,MeasureOutput,11,FALSE)</f>
        <v>61.951432106144111</v>
      </c>
      <c r="C67" s="7" t="str">
        <f>IF(LEFT(D67,FIND(" ",$D67)-1)="single","Single Family",LEFT(D67,FIND(" ",$D67)-1))</f>
        <v>Manufactured</v>
      </c>
      <c r="D67" s="7" t="s">
        <v>487</v>
      </c>
      <c r="E67" s="29">
        <f ca="1">VLOOKUP($C67,$D$50:$Z$51,E$56+1,FALSE)*$D$65*$A67/8760/1000*88%*IF($C67="Manufactured",IF(RIGHT($D67,4)&lt;&gt;"ered",'HVAC weighting'!$G$17,'HVAC weighting'!$G$18),IF(RIGHT($D67,4)&lt;&gt;"ered",'HVAC weighting'!$G$23,'HVAC weighting'!$G$24))*IFERROR(VLOOKUP(RIGHT('SC-NR'!$D67,4),'HVAC weighting'!$A$3:$C$8,MATCH('SC-NR'!$C67,'HVAC weighting'!$B$3:$C$3,0)+1,FALSE),1)</f>
        <v>2.2471158701640953E-3</v>
      </c>
      <c r="F67" s="29">
        <f ca="1">VLOOKUP($C67,$D$50:$Z$51,F$56+1,FALSE)*$D$65*$A67/8760/1000*88%*IF($C67="Manufactured",IF(RIGHT($D67,4)&lt;&gt;"ered",'HVAC weighting'!$G$17,'HVAC weighting'!$G$18),IF(RIGHT($D67,4)&lt;&gt;"ered",'HVAC weighting'!$G$23,'HVAC weighting'!$G$24))*IFERROR(VLOOKUP(RIGHT('SC-NR'!$D67,4),'HVAC weighting'!$A$3:$C$8,MATCH('SC-NR'!$C67,'HVAC weighting'!$B$3:$C$3,0)+1,FALSE),1)</f>
        <v>5.7176093576217484E-3</v>
      </c>
      <c r="G67" s="29">
        <f ca="1">VLOOKUP($C67,$D$50:$Z$51,G$56+1,FALSE)*$D$65*$A67/8760/1000*88%*IF($C67="Manufactured",IF(RIGHT($D67,4)&lt;&gt;"ered",'HVAC weighting'!$G$17,'HVAC weighting'!$G$18),IF(RIGHT($D67,4)&lt;&gt;"ered",'HVAC weighting'!$G$23,'HVAC weighting'!$G$24))*IFERROR(VLOOKUP(RIGHT('SC-NR'!$D67,4),'HVAC weighting'!$A$3:$C$8,MATCH('SC-NR'!$C67,'HVAC weighting'!$B$3:$C$3,0)+1,FALSE),1)</f>
        <v>1.2570830584786171E-2</v>
      </c>
      <c r="H67" s="29">
        <f ca="1">VLOOKUP($C67,$D$50:$Z$51,H$56+1,FALSE)*$D$65*$A67/8760/1000*88%*IF($C67="Manufactured",IF(RIGHT($D67,4)&lt;&gt;"ered",'HVAC weighting'!$G$17,'HVAC weighting'!$G$18),IF(RIGHT($D67,4)&lt;&gt;"ered",'HVAC weighting'!$G$23,'HVAC weighting'!$G$24))*IFERROR(VLOOKUP(RIGHT('SC-NR'!$D67,4),'HVAC weighting'!$A$3:$C$8,MATCH('SC-NR'!$C67,'HVAC weighting'!$B$3:$C$3,0)+1,FALSE),1)</f>
        <v>2.4407242184543199E-2</v>
      </c>
      <c r="I67" s="29">
        <f ca="1">VLOOKUP($C67,$D$50:$Z$51,I$56+1,FALSE)*$D$65*$A67/8760/1000*88%*IF($C67="Manufactured",IF(RIGHT($D67,4)&lt;&gt;"ered",'HVAC weighting'!$G$17,'HVAC weighting'!$G$18),IF(RIGHT($D67,4)&lt;&gt;"ered",'HVAC weighting'!$G$23,'HVAC weighting'!$G$24))*IFERROR(VLOOKUP(RIGHT('SC-NR'!$D67,4),'HVAC weighting'!$A$3:$C$8,MATCH('SC-NR'!$C67,'HVAC weighting'!$B$3:$C$3,0)+1,FALSE),1)</f>
        <v>4.2568573901560026E-2</v>
      </c>
      <c r="J67" s="29">
        <f ca="1">VLOOKUP($C67,$D$50:$Z$51,J$56+1,FALSE)*$D$65*$A67/8760/1000*88%*IF($C67="Manufactured",IF(RIGHT($D67,4)&lt;&gt;"ered",'HVAC weighting'!$G$17,'HVAC weighting'!$G$18),IF(RIGHT($D67,4)&lt;&gt;"ered",'HVAC weighting'!$G$23,'HVAC weighting'!$G$24))*IFERROR(VLOOKUP(RIGHT('SC-NR'!$D67,4),'HVAC weighting'!$A$3:$C$8,MATCH('SC-NR'!$C67,'HVAC weighting'!$B$3:$C$3,0)+1,FALSE),1)</f>
        <v>6.7629055847735861E-2</v>
      </c>
      <c r="K67" s="29">
        <f ca="1">VLOOKUP($C67,$D$50:$Z$51,K$56+1,FALSE)*$D$65*$A67/8760/1000*88%*IF($C67="Manufactured",IF(RIGHT($D67,4)&lt;&gt;"ered",'HVAC weighting'!$G$17,'HVAC weighting'!$G$18),IF(RIGHT($D67,4)&lt;&gt;"ered",'HVAC weighting'!$G$23,'HVAC weighting'!$G$24))*IFERROR(VLOOKUP(RIGHT('SC-NR'!$D67,4),'HVAC weighting'!$A$3:$C$8,MATCH('SC-NR'!$C67,'HVAC weighting'!$B$3:$C$3,0)+1,FALSE),1)</f>
        <v>9.9033414500349623E-2</v>
      </c>
      <c r="L67" s="29">
        <f ca="1">VLOOKUP($C67,$D$50:$Z$51,L$56+1,FALSE)*$D$65*$A67/8760/1000*88%*IF($C67="Manufactured",IF(RIGHT($D67,4)&lt;&gt;"ered",'HVAC weighting'!$G$17,'HVAC weighting'!$G$18),IF(RIGHT($D67,4)&lt;&gt;"ered",'HVAC weighting'!$G$23,'HVAC weighting'!$G$24))*IFERROR(VLOOKUP(RIGHT('SC-NR'!$D67,4),'HVAC weighting'!$A$3:$C$8,MATCH('SC-NR'!$C67,'HVAC weighting'!$B$3:$C$3,0)+1,FALSE),1)</f>
        <v>0.13505610779130922</v>
      </c>
      <c r="M67" s="29">
        <f ca="1">VLOOKUP($C67,$D$50:$Z$51,M$56+1,FALSE)*$D$65*$A67/8760/1000*88%*IF($C67="Manufactured",IF(RIGHT($D67,4)&lt;&gt;"ered",'HVAC weighting'!$G$17,'HVAC weighting'!$G$18),IF(RIGHT($D67,4)&lt;&gt;"ered",'HVAC weighting'!$G$23,'HVAC weighting'!$G$24))*IFERROR(VLOOKUP(RIGHT('SC-NR'!$D67,4),'HVAC weighting'!$A$3:$C$8,MATCH('SC-NR'!$C67,'HVAC weighting'!$B$3:$C$3,0)+1,FALSE),1)</f>
        <v>0.1731194481792962</v>
      </c>
      <c r="N67" s="29">
        <f ca="1">VLOOKUP($C67,$D$50:$Z$51,N$56+1,FALSE)*$D$65*$A67/8760/1000*88%*IF($C67="Manufactured",IF(RIGHT($D67,4)&lt;&gt;"ered",'HVAC weighting'!$G$17,'HVAC weighting'!$G$18),IF(RIGHT($D67,4)&lt;&gt;"ered",'HVAC weighting'!$G$23,'HVAC weighting'!$G$24))*IFERROR(VLOOKUP(RIGHT('SC-NR'!$D67,4),'HVAC weighting'!$A$3:$C$8,MATCH('SC-NR'!$C67,'HVAC weighting'!$B$3:$C$3,0)+1,FALSE),1)</f>
        <v>0.21035379877429847</v>
      </c>
      <c r="O67" s="29">
        <f ca="1">VLOOKUP($C67,$D$50:$Z$51,O$56+1,FALSE)*$D$65*$A67/8760/1000*88%*IF($C67="Manufactured",IF(RIGHT($D67,4)&lt;&gt;"ered",'HVAC weighting'!$G$17,'HVAC weighting'!$G$18),IF(RIGHT($D67,4)&lt;&gt;"ered",'HVAC weighting'!$G$23,'HVAC weighting'!$G$24))*IFERROR(VLOOKUP(RIGHT('SC-NR'!$D67,4),'HVAC weighting'!$A$3:$C$8,MATCH('SC-NR'!$C67,'HVAC weighting'!$B$3:$C$3,0)+1,FALSE),1)</f>
        <v>0.24419474573485692</v>
      </c>
      <c r="P67" s="29">
        <f ca="1">VLOOKUP($C67,$D$50:$Z$51,P$56+1,FALSE)*$D$65*$A67/8760/1000*88%*IF($C67="Manufactured",IF(RIGHT($D67,4)&lt;&gt;"ered",'HVAC weighting'!$G$17,'HVAC weighting'!$G$18),IF(RIGHT($D67,4)&lt;&gt;"ered",'HVAC weighting'!$G$23,'HVAC weighting'!$G$24))*IFERROR(VLOOKUP(RIGHT('SC-NR'!$D67,4),'HVAC weighting'!$A$3:$C$8,MATCH('SC-NR'!$C67,'HVAC weighting'!$B$3:$C$3,0)+1,FALSE),1)</f>
        <v>0.27282543827953887</v>
      </c>
      <c r="Q67" s="29">
        <f ca="1">VLOOKUP($C67,$D$50:$Z$51,Q$56+1,FALSE)*$D$65*$A67/8760/1000*88%*IF($C67="Manufactured",IF(RIGHT($D67,4)&lt;&gt;"ered",'HVAC weighting'!$G$17,'HVAC weighting'!$G$18),IF(RIGHT($D67,4)&lt;&gt;"ered",'HVAC weighting'!$G$23,'HVAC weighting'!$G$24))*IFERROR(VLOOKUP(RIGHT('SC-NR'!$D67,4),'HVAC weighting'!$A$3:$C$8,MATCH('SC-NR'!$C67,'HVAC weighting'!$B$3:$C$3,0)+1,FALSE),1)</f>
        <v>0.29536219526500262</v>
      </c>
      <c r="R67" s="29">
        <f ca="1">VLOOKUP($C67,$D$50:$Z$51,R$56+1,FALSE)*$D$65*$A67/8760/1000*88%*IF($C67="Manufactured",IF(RIGHT($D67,4)&lt;&gt;"ered",'HVAC weighting'!$G$17,'HVAC weighting'!$G$18),IF(RIGHT($D67,4)&lt;&gt;"ered",'HVAC weighting'!$G$23,'HVAC weighting'!$G$24))*IFERROR(VLOOKUP(RIGHT('SC-NR'!$D67,4),'HVAC weighting'!$A$3:$C$8,MATCH('SC-NR'!$C67,'HVAC weighting'!$B$3:$C$3,0)+1,FALSE),1)</f>
        <v>0.32695624839310727</v>
      </c>
      <c r="S67" s="29">
        <f ca="1">VLOOKUP($C67,$D$50:$Z$51,S$56+1,FALSE)*$D$65*$A67/8760/1000*88%*IF($C67="Manufactured",IF(RIGHT($D67,4)&lt;&gt;"ered",'HVAC weighting'!$G$17,'HVAC weighting'!$G$18),IF(RIGHT($D67,4)&lt;&gt;"ered",'HVAC weighting'!$G$23,'HVAC weighting'!$G$24))*IFERROR(VLOOKUP(RIGHT('SC-NR'!$D67,4),'HVAC weighting'!$A$3:$C$8,MATCH('SC-NR'!$C67,'HVAC weighting'!$B$3:$C$3,0)+1,FALSE),1)</f>
        <v>0.33859381734144273</v>
      </c>
      <c r="T67" s="29">
        <f ca="1">VLOOKUP($C67,$D$50:$Z$51,T$56+1,FALSE)*$D$65*$A67/8760/1000*88%*IF($C67="Manufactured",IF(RIGHT($D67,4)&lt;&gt;"ered",'HVAC weighting'!$G$17,'HVAC weighting'!$G$18),IF(RIGHT($D67,4)&lt;&gt;"ered",'HVAC weighting'!$G$23,'HVAC weighting'!$G$24))*IFERROR(VLOOKUP(RIGHT('SC-NR'!$D67,4),'HVAC weighting'!$A$3:$C$8,MATCH('SC-NR'!$C67,'HVAC weighting'!$B$3:$C$3,0)+1,FALSE),1)</f>
        <v>0.34586715815066726</v>
      </c>
      <c r="U67" s="29">
        <f ca="1">VLOOKUP($C67,$D$50:$Z$51,U$56+1,FALSE)*$D$65*$A67/8760/1000*88%*IF($C67="Manufactured",IF(RIGHT($D67,4)&lt;&gt;"ered",'HVAC weighting'!$G$17,'HVAC weighting'!$G$18),IF(RIGHT($D67,4)&lt;&gt;"ered",'HVAC weighting'!$G$23,'HVAC weighting'!$G$24))*IFERROR(VLOOKUP(RIGHT('SC-NR'!$D67,4),'HVAC weighting'!$A$3:$C$8,MATCH('SC-NR'!$C67,'HVAC weighting'!$B$3:$C$3,0)+1,FALSE),1)</f>
        <v>0.34938859901889796</v>
      </c>
      <c r="V67" s="29">
        <f ca="1">VLOOKUP($C67,$D$50:$Z$51,V$56+1,FALSE)*$D$65*$A67/8760/1000*88%*IF($C67="Manufactured",IF(RIGHT($D67,4)&lt;&gt;"ered",'HVAC weighting'!$G$17,'HVAC weighting'!$G$18),IF(RIGHT($D67,4)&lt;&gt;"ered",'HVAC weighting'!$G$23,'HVAC weighting'!$G$24))*IFERROR(VLOOKUP(RIGHT('SC-NR'!$D67,4),'HVAC weighting'!$A$3:$C$8,MATCH('SC-NR'!$C67,'HVAC weighting'!$B$3:$C$3,0)+1,FALSE),1)</f>
        <v>0.34894698043251476</v>
      </c>
      <c r="W67" s="29">
        <f ca="1">VLOOKUP($C67,$D$50:$Z$51,W$56+1,FALSE)*$D$65*$A67/8760/1000*88%*IF($C67="Manufactured",IF(RIGHT($D67,4)&lt;&gt;"ered",'HVAC weighting'!$G$17,'HVAC weighting'!$G$18),IF(RIGHT($D67,4)&lt;&gt;"ered",'HVAC weighting'!$G$23,'HVAC weighting'!$G$24))*IFERROR(VLOOKUP(RIGHT('SC-NR'!$D67,4),'HVAC weighting'!$A$3:$C$8,MATCH('SC-NR'!$C67,'HVAC weighting'!$B$3:$C$3,0)+1,FALSE),1)</f>
        <v>0.34678310513463712</v>
      </c>
      <c r="X67" s="29">
        <f ca="1">VLOOKUP($C67,$D$50:$Z$51,X$56+1,FALSE)*$D$65*$A67/8760/1000*88%*IF($C67="Manufactured",IF(RIGHT($D67,4)&lt;&gt;"ered",'HVAC weighting'!$G$17,'HVAC weighting'!$G$18),IF(RIGHT($D67,4)&lt;&gt;"ered",'HVAC weighting'!$G$23,'HVAC weighting'!$G$24))*IFERROR(VLOOKUP(RIGHT('SC-NR'!$D67,4),'HVAC weighting'!$A$3:$C$8,MATCH('SC-NR'!$C67,'HVAC weighting'!$B$3:$C$3,0)+1,FALSE),1)</f>
        <v>0.34357091790457567</v>
      </c>
      <c r="Y67" s="29">
        <f ca="1">(VLOOKUP($C67,$D$37:$Z$38,$X$56+3,FALSE)+VLOOKUP($C67,$D$43:$Z$44,$X$56+3,FALSE))*$A67*$D$65/8760/1000*88%*IF($C67="Manufactured",IF(RIGHT($D67,4)&lt;&gt;"ered",'HVAC weighting'!$G$17,'HVAC weighting'!$G$18),IF(RIGHT($D67,4)&lt;&gt;"ered",'HVAC weighting'!$G$23,'HVAC weighting'!$G$24))*IFERROR(VLOOKUP(RIGHT('SC-NR'!$D67,4),'HVAC weighting'!$A$3:$C$8,MATCH('SC-NR'!$C67,'HVAC weighting'!$B$3:$C$3,0)+1,FALSE),1)</f>
        <v>4.4209940161922576</v>
      </c>
      <c r="AA67" s="29">
        <f ca="1">SUM(E67:X67)</f>
        <v>3.9851924026469061</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A68" s="58">
        <f t="shared" si="25"/>
        <v>1178.5826717098373</v>
      </c>
      <c r="B68" s="58">
        <f t="shared" si="26"/>
        <v>62.140138137376972</v>
      </c>
      <c r="C68" s="7" t="str">
        <f t="shared" ref="C68:C84" si="27">IF(LEFT(D68,FIND(" ",$D68)-1)="single","Single Family",LEFT(D68,FIND(" ",$D68)-1))</f>
        <v>Single Family</v>
      </c>
      <c r="D68" s="7" t="s">
        <v>475</v>
      </c>
      <c r="E68" s="29">
        <f ca="1">VLOOKUP($C68,$D$50:$Z$51,E$56+1,FALSE)*$D$65*$A68/8760/1000*88%*IF($C68="Manufactured",IF(RIGHT($D68,4)&lt;&gt;"ered",'HVAC weighting'!$G$17,'HVAC weighting'!$G$18),IF(RIGHT($D68,4)&lt;&gt;"ered",'HVAC weighting'!$G$23,'HVAC weighting'!$G$24))*IFERROR(VLOOKUP(RIGHT('SC-NR'!$D68,4),'HVAC weighting'!$A$3:$C$8,MATCH('SC-NR'!$C68,'HVAC weighting'!$B$3:$C$3,0)+1,FALSE),1)</f>
        <v>4.8967818932665911E-3</v>
      </c>
      <c r="F68" s="29">
        <f ca="1">VLOOKUP($C68,$D$50:$Z$51,F$56+1,FALSE)*$D$65*$A68/8760/1000*88%*IF($C68="Manufactured",IF(RIGHT($D68,4)&lt;&gt;"ered",'HVAC weighting'!$G$17,'HVAC weighting'!$G$18),IF(RIGHT($D68,4)&lt;&gt;"ered",'HVAC weighting'!$G$23,'HVAC weighting'!$G$24))*IFERROR(VLOOKUP(RIGHT('SC-NR'!$D68,4),'HVAC weighting'!$A$3:$C$8,MATCH('SC-NR'!$C68,'HVAC weighting'!$B$3:$C$3,0)+1,FALSE),1)</f>
        <v>1.2565470140754867E-2</v>
      </c>
      <c r="G68" s="29">
        <f ca="1">VLOOKUP($C68,$D$50:$Z$51,G$56+1,FALSE)*$D$65*$A68/8760/1000*88%*IF($C68="Manufactured",IF(RIGHT($D68,4)&lt;&gt;"ered",'HVAC weighting'!$G$17,'HVAC weighting'!$G$18),IF(RIGHT($D68,4)&lt;&gt;"ered",'HVAC weighting'!$G$23,'HVAC weighting'!$G$24))*IFERROR(VLOOKUP(RIGHT('SC-NR'!$D68,4),'HVAC weighting'!$A$3:$C$8,MATCH('SC-NR'!$C68,'HVAC weighting'!$B$3:$C$3,0)+1,FALSE),1)</f>
        <v>2.7861673914848787E-2</v>
      </c>
      <c r="H68" s="29">
        <f ca="1">VLOOKUP($C68,$D$50:$Z$51,H$56+1,FALSE)*$D$65*$A68/8760/1000*88%*IF($C68="Manufactured",IF(RIGHT($D68,4)&lt;&gt;"ered",'HVAC weighting'!$G$17,'HVAC weighting'!$G$18),IF(RIGHT($D68,4)&lt;&gt;"ered",'HVAC weighting'!$G$23,'HVAC weighting'!$G$24))*IFERROR(VLOOKUP(RIGHT('SC-NR'!$D68,4),'HVAC weighting'!$A$3:$C$8,MATCH('SC-NR'!$C68,'HVAC weighting'!$B$3:$C$3,0)+1,FALSE),1)</f>
        <v>5.4555797790237358E-2</v>
      </c>
      <c r="I68" s="29">
        <f ca="1">VLOOKUP($C68,$D$50:$Z$51,I$56+1,FALSE)*$D$65*$A68/8760/1000*88%*IF($C68="Manufactured",IF(RIGHT($D68,4)&lt;&gt;"ered",'HVAC weighting'!$G$17,'HVAC weighting'!$G$18),IF(RIGHT($D68,4)&lt;&gt;"ered",'HVAC weighting'!$G$23,'HVAC weighting'!$G$24))*IFERROR(VLOOKUP(RIGHT('SC-NR'!$D68,4),'HVAC weighting'!$A$3:$C$8,MATCH('SC-NR'!$C68,'HVAC weighting'!$B$3:$C$3,0)+1,FALSE),1)</f>
        <v>9.5960006885256049E-2</v>
      </c>
      <c r="J68" s="29">
        <f ca="1">VLOOKUP($C68,$D$50:$Z$51,J$56+1,FALSE)*$D$65*$A68/8760/1000*88%*IF($C68="Manufactured",IF(RIGHT($D68,4)&lt;&gt;"ered",'HVAC weighting'!$G$17,'HVAC weighting'!$G$18),IF(RIGHT($D68,4)&lt;&gt;"ered",'HVAC weighting'!$G$23,'HVAC weighting'!$G$24))*IFERROR(VLOOKUP(RIGHT('SC-NR'!$D68,4),'HVAC weighting'!$A$3:$C$8,MATCH('SC-NR'!$C68,'HVAC weighting'!$B$3:$C$3,0)+1,FALSE),1)</f>
        <v>0.15374941172353707</v>
      </c>
      <c r="K68" s="29">
        <f ca="1">VLOOKUP($C68,$D$50:$Z$51,K$56+1,FALSE)*$D$65*$A68/8760/1000*88%*IF($C68="Manufactured",IF(RIGHT($D68,4)&lt;&gt;"ered",'HVAC weighting'!$G$17,'HVAC weighting'!$G$18),IF(RIGHT($D68,4)&lt;&gt;"ered",'HVAC weighting'!$G$23,'HVAC weighting'!$G$24))*IFERROR(VLOOKUP(RIGHT('SC-NR'!$D68,4),'HVAC weighting'!$A$3:$C$8,MATCH('SC-NR'!$C68,'HVAC weighting'!$B$3:$C$3,0)+1,FALSE),1)</f>
        <v>0.2270601185805057</v>
      </c>
      <c r="L68" s="29">
        <f ca="1">VLOOKUP($C68,$D$50:$Z$51,L$56+1,FALSE)*$D$65*$A68/8760/1000*88%*IF($C68="Manufactured",IF(RIGHT($D68,4)&lt;&gt;"ered",'HVAC weighting'!$G$17,'HVAC weighting'!$G$18),IF(RIGHT($D68,4)&lt;&gt;"ered",'HVAC weighting'!$G$23,'HVAC weighting'!$G$24))*IFERROR(VLOOKUP(RIGHT('SC-NR'!$D68,4),'HVAC weighting'!$A$3:$C$8,MATCH('SC-NR'!$C68,'HVAC weighting'!$B$3:$C$3,0)+1,FALSE),1)</f>
        <v>0.3122858495991519</v>
      </c>
      <c r="M68" s="29">
        <f ca="1">VLOOKUP($C68,$D$50:$Z$51,M$56+1,FALSE)*$D$65*$A68/8760/1000*88%*IF($C68="Manufactured",IF(RIGHT($D68,4)&lt;&gt;"ered",'HVAC weighting'!$G$17,'HVAC weighting'!$G$18),IF(RIGHT($D68,4)&lt;&gt;"ered",'HVAC weighting'!$G$23,'HVAC weighting'!$G$24))*IFERROR(VLOOKUP(RIGHT('SC-NR'!$D68,4),'HVAC weighting'!$A$3:$C$8,MATCH('SC-NR'!$C68,'HVAC weighting'!$B$3:$C$3,0)+1,FALSE),1)</f>
        <v>0.40370386219132698</v>
      </c>
      <c r="N68" s="29">
        <f ca="1">VLOOKUP($C68,$D$50:$Z$51,N$56+1,FALSE)*$D$65*$A68/8760/1000*88%*IF($C68="Manufactured",IF(RIGHT($D68,4)&lt;&gt;"ered",'HVAC weighting'!$G$17,'HVAC weighting'!$G$18),IF(RIGHT($D68,4)&lt;&gt;"ered",'HVAC weighting'!$G$23,'HVAC weighting'!$G$24))*IFERROR(VLOOKUP(RIGHT('SC-NR'!$D68,4),'HVAC weighting'!$A$3:$C$8,MATCH('SC-NR'!$C68,'HVAC weighting'!$B$3:$C$3,0)+1,FALSE),1)</f>
        <v>0.49470508387056095</v>
      </c>
      <c r="O68" s="29">
        <f ca="1">VLOOKUP($C68,$D$50:$Z$51,O$56+1,FALSE)*$D$65*$A68/8760/1000*88%*IF($C68="Manufactured",IF(RIGHT($D68,4)&lt;&gt;"ered",'HVAC weighting'!$G$17,'HVAC weighting'!$G$18),IF(RIGHT($D68,4)&lt;&gt;"ered",'HVAC weighting'!$G$23,'HVAC weighting'!$G$24))*IFERROR(VLOOKUP(RIGHT('SC-NR'!$D68,4),'HVAC weighting'!$A$3:$C$8,MATCH('SC-NR'!$C68,'HVAC weighting'!$B$3:$C$3,0)+1,FALSE),1)</f>
        <v>0.57917698817264318</v>
      </c>
      <c r="P68" s="29">
        <f ca="1">VLOOKUP($C68,$D$50:$Z$51,P$56+1,FALSE)*$D$65*$A68/8760/1000*88%*IF($C68="Manufactured",IF(RIGHT($D68,4)&lt;&gt;"ered",'HVAC weighting'!$G$17,'HVAC weighting'!$G$18),IF(RIGHT($D68,4)&lt;&gt;"ered",'HVAC weighting'!$G$23,'HVAC weighting'!$G$24))*IFERROR(VLOOKUP(RIGHT('SC-NR'!$D68,4),'HVAC weighting'!$A$3:$C$8,MATCH('SC-NR'!$C68,'HVAC weighting'!$B$3:$C$3,0)+1,FALSE),1)</f>
        <v>0.65258759421034951</v>
      </c>
      <c r="Q68" s="29">
        <f ca="1">VLOOKUP($C68,$D$50:$Z$51,Q$56+1,FALSE)*$D$65*$A68/8760/1000*88%*IF($C68="Manufactured",IF(RIGHT($D68,4)&lt;&gt;"ered",'HVAC weighting'!$G$17,'HVAC weighting'!$G$18),IF(RIGHT($D68,4)&lt;&gt;"ered",'HVAC weighting'!$G$23,'HVAC weighting'!$G$24))*IFERROR(VLOOKUP(RIGHT('SC-NR'!$D68,4),'HVAC weighting'!$A$3:$C$8,MATCH('SC-NR'!$C68,'HVAC weighting'!$B$3:$C$3,0)+1,FALSE),1)</f>
        <v>0.71250485529167007</v>
      </c>
      <c r="R68" s="29">
        <f ca="1">VLOOKUP($C68,$D$50:$Z$51,R$56+1,FALSE)*$D$65*$A68/8760/1000*88%*IF($C68="Manufactured",IF(RIGHT($D68,4)&lt;&gt;"ered",'HVAC weighting'!$G$17,'HVAC weighting'!$G$18),IF(RIGHT($D68,4)&lt;&gt;"ered",'HVAC weighting'!$G$23,'HVAC weighting'!$G$24))*IFERROR(VLOOKUP(RIGHT('SC-NR'!$D68,4),'HVAC weighting'!$A$3:$C$8,MATCH('SC-NR'!$C68,'HVAC weighting'!$B$3:$C$3,0)+1,FALSE),1)</f>
        <v>0.90932092678407583</v>
      </c>
      <c r="S68" s="29">
        <f ca="1">VLOOKUP($C68,$D$50:$Z$51,S$56+1,FALSE)*$D$65*$A68/8760/1000*88%*IF($C68="Manufactured",IF(RIGHT($D68,4)&lt;&gt;"ered",'HVAC weighting'!$G$17,'HVAC weighting'!$G$18),IF(RIGHT($D68,4)&lt;&gt;"ered",'HVAC weighting'!$G$23,'HVAC weighting'!$G$24))*IFERROR(VLOOKUP(RIGHT('SC-NR'!$D68,4),'HVAC weighting'!$A$3:$C$8,MATCH('SC-NR'!$C68,'HVAC weighting'!$B$3:$C$3,0)+1,FALSE),1)</f>
        <v>0.94168665564817966</v>
      </c>
      <c r="T68" s="29">
        <f ca="1">VLOOKUP($C68,$D$50:$Z$51,T$56+1,FALSE)*$D$65*$A68/8760/1000*88%*IF($C68="Manufactured",IF(RIGHT($D68,4)&lt;&gt;"ered",'HVAC weighting'!$G$17,'HVAC weighting'!$G$18),IF(RIGHT($D68,4)&lt;&gt;"ered",'HVAC weighting'!$G$23,'HVAC weighting'!$G$24))*IFERROR(VLOOKUP(RIGHT('SC-NR'!$D68,4),'HVAC weighting'!$A$3:$C$8,MATCH('SC-NR'!$C68,'HVAC weighting'!$B$3:$C$3,0)+1,FALSE),1)</f>
        <v>0.95885600797298332</v>
      </c>
      <c r="U68" s="29">
        <f ca="1">VLOOKUP($C68,$D$50:$Z$51,U$56+1,FALSE)*$D$65*$A68/8760/1000*88%*IF($C68="Manufactured",IF(RIGHT($D68,4)&lt;&gt;"ered",'HVAC weighting'!$G$17,'HVAC weighting'!$G$18),IF(RIGHT($D68,4)&lt;&gt;"ered",'HVAC weighting'!$G$23,'HVAC weighting'!$G$24))*IFERROR(VLOOKUP(RIGHT('SC-NR'!$D68,4),'HVAC weighting'!$A$3:$C$8,MATCH('SC-NR'!$C68,'HVAC weighting'!$B$3:$C$3,0)+1,FALSE),1)</f>
        <v>0.96779039138937517</v>
      </c>
      <c r="V68" s="29">
        <f ca="1">VLOOKUP($C68,$D$50:$Z$51,V$56+1,FALSE)*$D$65*$A68/8760/1000*88%*IF($C68="Manufactured",IF(RIGHT($D68,4)&lt;&gt;"ered",'HVAC weighting'!$G$17,'HVAC weighting'!$G$18),IF(RIGHT($D68,4)&lt;&gt;"ered",'HVAC weighting'!$G$23,'HVAC weighting'!$G$24))*IFERROR(VLOOKUP(RIGHT('SC-NR'!$D68,4),'HVAC weighting'!$A$3:$C$8,MATCH('SC-NR'!$C68,'HVAC weighting'!$B$3:$C$3,0)+1,FALSE),1)</f>
        <v>0.96869507765262697</v>
      </c>
      <c r="W68" s="29">
        <f ca="1">VLOOKUP($C68,$D$50:$Z$51,W$56+1,FALSE)*$D$65*$A68/8760/1000*88%*IF($C68="Manufactured",IF(RIGHT($D68,4)&lt;&gt;"ered",'HVAC weighting'!$G$17,'HVAC weighting'!$G$18),IF(RIGHT($D68,4)&lt;&gt;"ered",'HVAC weighting'!$G$23,'HVAC weighting'!$G$24))*IFERROR(VLOOKUP(RIGHT('SC-NR'!$D68,4),'HVAC weighting'!$A$3:$C$8,MATCH('SC-NR'!$C68,'HVAC weighting'!$B$3:$C$3,0)+1,FALSE),1)</f>
        <v>0.96041715996355148</v>
      </c>
      <c r="X68" s="29">
        <f ca="1">VLOOKUP($C68,$D$50:$Z$51,X$56+1,FALSE)*$D$65*$A68/8760/1000*88%*IF($C68="Manufactured",IF(RIGHT($D68,4)&lt;&gt;"ered",'HVAC weighting'!$G$17,'HVAC weighting'!$G$18),IF(RIGHT($D68,4)&lt;&gt;"ered",'HVAC weighting'!$G$23,'HVAC weighting'!$G$24))*IFERROR(VLOOKUP(RIGHT('SC-NR'!$D68,4),'HVAC weighting'!$A$3:$C$8,MATCH('SC-NR'!$C68,'HVAC weighting'!$B$3:$C$3,0)+1,FALSE),1)</f>
        <v>0.95016651474292535</v>
      </c>
      <c r="Y68" s="29">
        <f ca="1">(VLOOKUP($C68,$D$37:$Z$38,$X$56+3,FALSE)+VLOOKUP($C68,$D$43:$Z$44,$X$56+3,FALSE))*$A68*$D$65/8760/1000*88%*IF($C68="Manufactured",IF(RIGHT($D68,4)&lt;&gt;"ered",'HVAC weighting'!$G$17,'HVAC weighting'!$G$18),IF(RIGHT($D68,4)&lt;&gt;"ered",'HVAC weighting'!$G$23,'HVAC weighting'!$G$24))*IFERROR(VLOOKUP(RIGHT('SC-NR'!$D68,4),'HVAC weighting'!$A$3:$C$8,MATCH('SC-NR'!$C68,'HVAC weighting'!$B$3:$C$3,0)+1,FALSE),1)</f>
        <v>12.008947285555797</v>
      </c>
      <c r="AA68" s="29">
        <f t="shared" ref="AA68:AA90" ca="1" si="28">SUM(E68:X68)</f>
        <v>10.388546228417827</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A69" s="58">
        <f t="shared" si="25"/>
        <v>1121.4904168963346</v>
      </c>
      <c r="B69" s="58">
        <f t="shared" si="26"/>
        <v>62.671853732153288</v>
      </c>
      <c r="C69" s="7" t="str">
        <f t="shared" si="27"/>
        <v>Single Family</v>
      </c>
      <c r="D69" s="7" t="s">
        <v>471</v>
      </c>
      <c r="E69" s="29">
        <f ca="1">VLOOKUP($C69,$D$50:$Z$51,E$56+1,FALSE)*$D$65*$A69/8760/1000*88%*IF($C69="Manufactured",IF(RIGHT($D69,4)&lt;&gt;"ered",'HVAC weighting'!$G$17,'HVAC weighting'!$G$18),IF(RIGHT($D69,4)&lt;&gt;"ered",'HVAC weighting'!$G$23,'HVAC weighting'!$G$24))*IFERROR(VLOOKUP(RIGHT('SC-NR'!$D69,4),'HVAC weighting'!$A$3:$C$8,MATCH('SC-NR'!$C69,'HVAC weighting'!$B$3:$C$3,0)+1,FALSE),1)</f>
        <v>6.0304149435374418E-2</v>
      </c>
      <c r="F69" s="29">
        <f ca="1">VLOOKUP($C69,$D$50:$Z$51,F$56+1,FALSE)*$D$65*$A69/8760/1000*88%*IF($C69="Manufactured",IF(RIGHT($D69,4)&lt;&gt;"ered",'HVAC weighting'!$G$17,'HVAC weighting'!$G$18),IF(RIGHT($D69,4)&lt;&gt;"ered",'HVAC weighting'!$G$23,'HVAC weighting'!$G$24))*IFERROR(VLOOKUP(RIGHT('SC-NR'!$D69,4),'HVAC weighting'!$A$3:$C$8,MATCH('SC-NR'!$C69,'HVAC weighting'!$B$3:$C$3,0)+1,FALSE),1)</f>
        <v>0.15474448435936558</v>
      </c>
      <c r="G69" s="29">
        <f ca="1">VLOOKUP($C69,$D$50:$Z$51,G$56+1,FALSE)*$D$65*$A69/8760/1000*88%*IF($C69="Manufactured",IF(RIGHT($D69,4)&lt;&gt;"ered",'HVAC weighting'!$G$17,'HVAC weighting'!$G$18),IF(RIGHT($D69,4)&lt;&gt;"ered",'HVAC weighting'!$G$23,'HVAC weighting'!$G$24))*IFERROR(VLOOKUP(RIGHT('SC-NR'!$D69,4),'HVAC weighting'!$A$3:$C$8,MATCH('SC-NR'!$C69,'HVAC weighting'!$B$3:$C$3,0)+1,FALSE),1)</f>
        <v>0.34311810979187557</v>
      </c>
      <c r="H69" s="29">
        <f ca="1">VLOOKUP($C69,$D$50:$Z$51,H$56+1,FALSE)*$D$65*$A69/8760/1000*88%*IF($C69="Manufactured",IF(RIGHT($D69,4)&lt;&gt;"ered",'HVAC weighting'!$G$17,'HVAC weighting'!$G$18),IF(RIGHT($D69,4)&lt;&gt;"ered",'HVAC weighting'!$G$23,'HVAC weighting'!$G$24))*IFERROR(VLOOKUP(RIGHT('SC-NR'!$D69,4),'HVAC weighting'!$A$3:$C$8,MATCH('SC-NR'!$C69,'HVAC weighting'!$B$3:$C$3,0)+1,FALSE),1)</f>
        <v>0.67185777398671476</v>
      </c>
      <c r="I69" s="29">
        <f ca="1">VLOOKUP($C69,$D$50:$Z$51,I$56+1,FALSE)*$D$65*$A69/8760/1000*88%*IF($C69="Manufactured",IF(RIGHT($D69,4)&lt;&gt;"ered",'HVAC weighting'!$G$17,'HVAC weighting'!$G$18),IF(RIGHT($D69,4)&lt;&gt;"ered",'HVAC weighting'!$G$23,'HVAC weighting'!$G$24))*IFERROR(VLOOKUP(RIGHT('SC-NR'!$D69,4),'HVAC weighting'!$A$3:$C$8,MATCH('SC-NR'!$C69,'HVAC weighting'!$B$3:$C$3,0)+1,FALSE),1)</f>
        <v>1.1817529800510953</v>
      </c>
      <c r="J69" s="29">
        <f ca="1">VLOOKUP($C69,$D$50:$Z$51,J$56+1,FALSE)*$D$65*$A69/8760/1000*88%*IF($C69="Manufactured",IF(RIGHT($D69,4)&lt;&gt;"ered",'HVAC weighting'!$G$17,'HVAC weighting'!$G$18),IF(RIGHT($D69,4)&lt;&gt;"ered",'HVAC weighting'!$G$23,'HVAC weighting'!$G$24))*IFERROR(VLOOKUP(RIGHT('SC-NR'!$D69,4),'HVAC weighting'!$A$3:$C$8,MATCH('SC-NR'!$C69,'HVAC weighting'!$B$3:$C$3,0)+1,FALSE),1)</f>
        <v>1.8934328100106608</v>
      </c>
      <c r="K69" s="29">
        <f ca="1">VLOOKUP($C69,$D$50:$Z$51,K$56+1,FALSE)*$D$65*$A69/8760/1000*88%*IF($C69="Manufactured",IF(RIGHT($D69,4)&lt;&gt;"ered",'HVAC weighting'!$G$17,'HVAC weighting'!$G$18),IF(RIGHT($D69,4)&lt;&gt;"ered",'HVAC weighting'!$G$23,'HVAC weighting'!$G$24))*IFERROR(VLOOKUP(RIGHT('SC-NR'!$D69,4),'HVAC weighting'!$A$3:$C$8,MATCH('SC-NR'!$C69,'HVAC weighting'!$B$3:$C$3,0)+1,FALSE),1)</f>
        <v>2.7962583631754154</v>
      </c>
      <c r="L69" s="29">
        <f ca="1">VLOOKUP($C69,$D$50:$Z$51,L$56+1,FALSE)*$D$65*$A69/8760/1000*88%*IF($C69="Manufactured",IF(RIGHT($D69,4)&lt;&gt;"ered",'HVAC weighting'!$G$17,'HVAC weighting'!$G$18),IF(RIGHT($D69,4)&lt;&gt;"ered",'HVAC weighting'!$G$23,'HVAC weighting'!$G$24))*IFERROR(VLOOKUP(RIGHT('SC-NR'!$D69,4),'HVAC weighting'!$A$3:$C$8,MATCH('SC-NR'!$C69,'HVAC weighting'!$B$3:$C$3,0)+1,FALSE),1)</f>
        <v>3.8458181212186684</v>
      </c>
      <c r="M69" s="29">
        <f ca="1">VLOOKUP($C69,$D$50:$Z$51,M$56+1,FALSE)*$D$65*$A69/8760/1000*88%*IF($C69="Manufactured",IF(RIGHT($D69,4)&lt;&gt;"ered",'HVAC weighting'!$G$17,'HVAC weighting'!$G$18),IF(RIGHT($D69,4)&lt;&gt;"ered",'HVAC weighting'!$G$23,'HVAC weighting'!$G$24))*IFERROR(VLOOKUP(RIGHT('SC-NR'!$D69,4),'HVAC weighting'!$A$3:$C$8,MATCH('SC-NR'!$C69,'HVAC weighting'!$B$3:$C$3,0)+1,FALSE),1)</f>
        <v>4.9716361814479928</v>
      </c>
      <c r="N69" s="29">
        <f ca="1">VLOOKUP($C69,$D$50:$Z$51,N$56+1,FALSE)*$D$65*$A69/8760/1000*88%*IF($C69="Manufactured",IF(RIGHT($D69,4)&lt;&gt;"ered",'HVAC weighting'!$G$17,'HVAC weighting'!$G$18),IF(RIGHT($D69,4)&lt;&gt;"ered",'HVAC weighting'!$G$23,'HVAC weighting'!$G$24))*IFERROR(VLOOKUP(RIGHT('SC-NR'!$D69,4),'HVAC weighting'!$A$3:$C$8,MATCH('SC-NR'!$C69,'HVAC weighting'!$B$3:$C$3,0)+1,FALSE),1)</f>
        <v>6.0923214377164383</v>
      </c>
      <c r="O69" s="29">
        <f ca="1">VLOOKUP($C69,$D$50:$Z$51,O$56+1,FALSE)*$D$65*$A69/8760/1000*88%*IF($C69="Manufactured",IF(RIGHT($D69,4)&lt;&gt;"ered",'HVAC weighting'!$G$17,'HVAC weighting'!$G$18),IF(RIGHT($D69,4)&lt;&gt;"ered",'HVAC weighting'!$G$23,'HVAC weighting'!$G$24))*IFERROR(VLOOKUP(RIGHT('SC-NR'!$D69,4),'HVAC weighting'!$A$3:$C$8,MATCH('SC-NR'!$C69,'HVAC weighting'!$B$3:$C$3,0)+1,FALSE),1)</f>
        <v>7.1325977765764605</v>
      </c>
      <c r="P69" s="29">
        <f ca="1">VLOOKUP($C69,$D$50:$Z$51,P$56+1,FALSE)*$D$65*$A69/8760/1000*88%*IF($C69="Manufactured",IF(RIGHT($D69,4)&lt;&gt;"ered",'HVAC weighting'!$G$17,'HVAC weighting'!$G$18),IF(RIGHT($D69,4)&lt;&gt;"ered",'HVAC weighting'!$G$23,'HVAC weighting'!$G$24))*IFERROR(VLOOKUP(RIGHT('SC-NR'!$D69,4),'HVAC weighting'!$A$3:$C$8,MATCH('SC-NR'!$C69,'HVAC weighting'!$B$3:$C$3,0)+1,FALSE),1)</f>
        <v>8.0366535938728401</v>
      </c>
      <c r="Q69" s="29">
        <f ca="1">VLOOKUP($C69,$D$50:$Z$51,Q$56+1,FALSE)*$D$65*$A69/8760/1000*88%*IF($C69="Manufactured",IF(RIGHT($D69,4)&lt;&gt;"ered",'HVAC weighting'!$G$17,'HVAC weighting'!$G$18),IF(RIGHT($D69,4)&lt;&gt;"ered",'HVAC weighting'!$G$23,'HVAC weighting'!$G$24))*IFERROR(VLOOKUP(RIGHT('SC-NR'!$D69,4),'HVAC weighting'!$A$3:$C$8,MATCH('SC-NR'!$C69,'HVAC weighting'!$B$3:$C$3,0)+1,FALSE),1)</f>
        <v>8.7745380953195493</v>
      </c>
      <c r="R69" s="29">
        <f ca="1">VLOOKUP($C69,$D$50:$Z$51,R$56+1,FALSE)*$D$65*$A69/8760/1000*88%*IF($C69="Manufactured",IF(RIGHT($D69,4)&lt;&gt;"ered",'HVAC weighting'!$G$17,'HVAC weighting'!$G$18),IF(RIGHT($D69,4)&lt;&gt;"ered",'HVAC weighting'!$G$23,'HVAC weighting'!$G$24))*IFERROR(VLOOKUP(RIGHT('SC-NR'!$D69,4),'HVAC weighting'!$A$3:$C$8,MATCH('SC-NR'!$C69,'HVAC weighting'!$B$3:$C$3,0)+1,FALSE),1)</f>
        <v>11.198339286645187</v>
      </c>
      <c r="S69" s="29">
        <f ca="1">VLOOKUP($C69,$D$50:$Z$51,S$56+1,FALSE)*$D$65*$A69/8760/1000*88%*IF($C69="Manufactured",IF(RIGHT($D69,4)&lt;&gt;"ered",'HVAC weighting'!$G$17,'HVAC weighting'!$G$18),IF(RIGHT($D69,4)&lt;&gt;"ered",'HVAC weighting'!$G$23,'HVAC weighting'!$G$24))*IFERROR(VLOOKUP(RIGHT('SC-NR'!$D69,4),'HVAC weighting'!$A$3:$C$8,MATCH('SC-NR'!$C69,'HVAC weighting'!$B$3:$C$3,0)+1,FALSE),1)</f>
        <v>11.59692509106698</v>
      </c>
      <c r="T69" s="29">
        <f ca="1">VLOOKUP($C69,$D$50:$Z$51,T$56+1,FALSE)*$D$65*$A69/8760/1000*88%*IF($C69="Manufactured",IF(RIGHT($D69,4)&lt;&gt;"ered",'HVAC weighting'!$G$17,'HVAC weighting'!$G$18),IF(RIGHT($D69,4)&lt;&gt;"ered",'HVAC weighting'!$G$23,'HVAC weighting'!$G$24))*IFERROR(VLOOKUP(RIGHT('SC-NR'!$D69,4),'HVAC weighting'!$A$3:$C$8,MATCH('SC-NR'!$C69,'HVAC weighting'!$B$3:$C$3,0)+1,FALSE),1)</f>
        <v>11.808366648169464</v>
      </c>
      <c r="U69" s="29">
        <f ca="1">VLOOKUP($C69,$D$50:$Z$51,U$56+1,FALSE)*$D$65*$A69/8760/1000*88%*IF($C69="Manufactured",IF(RIGHT($D69,4)&lt;&gt;"ered",'HVAC weighting'!$G$17,'HVAC weighting'!$G$18),IF(RIGHT($D69,4)&lt;&gt;"ered",'HVAC weighting'!$G$23,'HVAC weighting'!$G$24))*IFERROR(VLOOKUP(RIGHT('SC-NR'!$D69,4),'HVAC weighting'!$A$3:$C$8,MATCH('SC-NR'!$C69,'HVAC weighting'!$B$3:$C$3,0)+1,FALSE),1)</f>
        <v>11.918394091579984</v>
      </c>
      <c r="V69" s="29">
        <f ca="1">VLOOKUP($C69,$D$50:$Z$51,V$56+1,FALSE)*$D$65*$A69/8760/1000*88%*IF($C69="Manufactured",IF(RIGHT($D69,4)&lt;&gt;"ered",'HVAC weighting'!$G$17,'HVAC weighting'!$G$18),IF(RIGHT($D69,4)&lt;&gt;"ered",'HVAC weighting'!$G$23,'HVAC weighting'!$G$24))*IFERROR(VLOOKUP(RIGHT('SC-NR'!$D69,4),'HVAC weighting'!$A$3:$C$8,MATCH('SC-NR'!$C69,'HVAC weighting'!$B$3:$C$3,0)+1,FALSE),1)</f>
        <v>11.929535354719818</v>
      </c>
      <c r="W69" s="29">
        <f ca="1">VLOOKUP($C69,$D$50:$Z$51,W$56+1,FALSE)*$D$65*$A69/8760/1000*88%*IF($C69="Manufactured",IF(RIGHT($D69,4)&lt;&gt;"ered",'HVAC weighting'!$G$17,'HVAC weighting'!$G$18),IF(RIGHT($D69,4)&lt;&gt;"ered",'HVAC weighting'!$G$23,'HVAC weighting'!$G$24))*IFERROR(VLOOKUP(RIGHT('SC-NR'!$D69,4),'HVAC weighting'!$A$3:$C$8,MATCH('SC-NR'!$C69,'HVAC weighting'!$B$3:$C$3,0)+1,FALSE),1)</f>
        <v>11.827592324334463</v>
      </c>
      <c r="X69" s="29">
        <f ca="1">VLOOKUP($C69,$D$50:$Z$51,X$56+1,FALSE)*$D$65*$A69/8760/1000*88%*IF($C69="Manufactured",IF(RIGHT($D69,4)&lt;&gt;"ered",'HVAC weighting'!$G$17,'HVAC weighting'!$G$18),IF(RIGHT($D69,4)&lt;&gt;"ered",'HVAC weighting'!$G$23,'HVAC weighting'!$G$24))*IFERROR(VLOOKUP(RIGHT('SC-NR'!$D69,4),'HVAC weighting'!$A$3:$C$8,MATCH('SC-NR'!$C69,'HVAC weighting'!$B$3:$C$3,0)+1,FALSE),1)</f>
        <v>11.701355041427568</v>
      </c>
      <c r="Y69" s="29">
        <f ca="1">(VLOOKUP($C69,$D$37:$Z$38,$X$56+3,FALSE)+VLOOKUP($C69,$D$43:$Z$44,$X$56+3,FALSE))*$A69*$D$65/8760/1000*88%*IF($C69="Manufactured",IF(RIGHT($D69,4)&lt;&gt;"ered",'HVAC weighting'!$G$17,'HVAC weighting'!$G$18),IF(RIGHT($D69,4)&lt;&gt;"ered",'HVAC weighting'!$G$23,'HVAC weighting'!$G$24))*IFERROR(VLOOKUP(RIGHT('SC-NR'!$D69,4),'HVAC weighting'!$A$3:$C$8,MATCH('SC-NR'!$C69,'HVAC weighting'!$B$3:$C$3,0)+1,FALSE),1)</f>
        <v>147.89087352767342</v>
      </c>
      <c r="AA69" s="29">
        <f t="shared" ca="1" si="28"/>
        <v>127.93554171490592</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A70" s="58">
        <f t="shared" si="25"/>
        <v>1367.6145062653491</v>
      </c>
      <c r="B70" s="58">
        <f t="shared" si="26"/>
        <v>68.411966327303134</v>
      </c>
      <c r="C70" s="7" t="str">
        <f t="shared" si="27"/>
        <v>Manufactured</v>
      </c>
      <c r="D70" s="7" t="s">
        <v>485</v>
      </c>
      <c r="E70" s="29">
        <f ca="1">VLOOKUP($C70,$D$50:$Z$51,E$56+1,FALSE)*$D$65*$A70/8760/1000*88%*IF($C70="Manufactured",IF(RIGHT($D70,4)&lt;&gt;"ered",'HVAC weighting'!$G$17,'HVAC weighting'!$G$18),IF(RIGHT($D70,4)&lt;&gt;"ered",'HVAC weighting'!$G$23,'HVAC weighting'!$G$24))*IFERROR(VLOOKUP(RIGHT('SC-NR'!$D70,4),'HVAC weighting'!$A$3:$C$8,MATCH('SC-NR'!$C70,'HVAC weighting'!$B$3:$C$3,0)+1,FALSE),1)</f>
        <v>5.6801354081291791E-4</v>
      </c>
      <c r="F70" s="29">
        <f ca="1">VLOOKUP($C70,$D$50:$Z$51,F$56+1,FALSE)*$D$65*$A70/8760/1000*88%*IF($C70="Manufactured",IF(RIGHT($D70,4)&lt;&gt;"ered",'HVAC weighting'!$G$17,'HVAC weighting'!$G$18),IF(RIGHT($D70,4)&lt;&gt;"ered",'HVAC weighting'!$G$23,'HVAC weighting'!$G$24))*IFERROR(VLOOKUP(RIGHT('SC-NR'!$D70,4),'HVAC weighting'!$A$3:$C$8,MATCH('SC-NR'!$C70,'HVAC weighting'!$B$3:$C$3,0)+1,FALSE),1)</f>
        <v>1.4452657200852937E-3</v>
      </c>
      <c r="G70" s="29">
        <f ca="1">VLOOKUP($C70,$D$50:$Z$51,G$56+1,FALSE)*$D$65*$A70/8760/1000*88%*IF($C70="Manufactured",IF(RIGHT($D70,4)&lt;&gt;"ered",'HVAC weighting'!$G$17,'HVAC weighting'!$G$18),IF(RIGHT($D70,4)&lt;&gt;"ered",'HVAC weighting'!$G$23,'HVAC weighting'!$G$24))*IFERROR(VLOOKUP(RIGHT('SC-NR'!$D70,4),'HVAC weighting'!$A$3:$C$8,MATCH('SC-NR'!$C70,'HVAC weighting'!$B$3:$C$3,0)+1,FALSE),1)</f>
        <v>3.1775851375667103E-3</v>
      </c>
      <c r="H70" s="29">
        <f ca="1">VLOOKUP($C70,$D$50:$Z$51,H$56+1,FALSE)*$D$65*$A70/8760/1000*88%*IF($C70="Manufactured",IF(RIGHT($D70,4)&lt;&gt;"ered",'HVAC weighting'!$G$17,'HVAC weighting'!$G$18),IF(RIGHT($D70,4)&lt;&gt;"ered",'HVAC weighting'!$G$23,'HVAC weighting'!$G$24))*IFERROR(VLOOKUP(RIGHT('SC-NR'!$D70,4),'HVAC weighting'!$A$3:$C$8,MATCH('SC-NR'!$C70,'HVAC weighting'!$B$3:$C$3,0)+1,FALSE),1)</f>
        <v>6.1695278996487203E-3</v>
      </c>
      <c r="I70" s="29">
        <f ca="1">VLOOKUP($C70,$D$50:$Z$51,I$56+1,FALSE)*$D$65*$A70/8760/1000*88%*IF($C70="Manufactured",IF(RIGHT($D70,4)&lt;&gt;"ered",'HVAC weighting'!$G$17,'HVAC weighting'!$G$18),IF(RIGHT($D70,4)&lt;&gt;"ered",'HVAC weighting'!$G$23,'HVAC weighting'!$G$24))*IFERROR(VLOOKUP(RIGHT('SC-NR'!$D70,4),'HVAC weighting'!$A$3:$C$8,MATCH('SC-NR'!$C70,'HVAC weighting'!$B$3:$C$3,0)+1,FALSE),1)</f>
        <v>1.0760249041993446E-2</v>
      </c>
      <c r="J70" s="29">
        <f ca="1">VLOOKUP($C70,$D$50:$Z$51,J$56+1,FALSE)*$D$65*$A70/8760/1000*88%*IF($C70="Manufactured",IF(RIGHT($D70,4)&lt;&gt;"ered",'HVAC weighting'!$G$17,'HVAC weighting'!$G$18),IF(RIGHT($D70,4)&lt;&gt;"ered",'HVAC weighting'!$G$23,'HVAC weighting'!$G$24))*IFERROR(VLOOKUP(RIGHT('SC-NR'!$D70,4),'HVAC weighting'!$A$3:$C$8,MATCH('SC-NR'!$C70,'HVAC weighting'!$B$3:$C$3,0)+1,FALSE),1)</f>
        <v>1.709489928131825E-2</v>
      </c>
      <c r="K70" s="29">
        <f ca="1">VLOOKUP($C70,$D$50:$Z$51,K$56+1,FALSE)*$D$65*$A70/8760/1000*88%*IF($C70="Manufactured",IF(RIGHT($D70,4)&lt;&gt;"ered",'HVAC weighting'!$G$17,'HVAC weighting'!$G$18),IF(RIGHT($D70,4)&lt;&gt;"ered",'HVAC weighting'!$G$23,'HVAC weighting'!$G$24))*IFERROR(VLOOKUP(RIGHT('SC-NR'!$D70,4),'HVAC weighting'!$A$3:$C$8,MATCH('SC-NR'!$C70,'HVAC weighting'!$B$3:$C$3,0)+1,FALSE),1)</f>
        <v>2.5033119642837609E-2</v>
      </c>
      <c r="L70" s="29">
        <f ca="1">VLOOKUP($C70,$D$50:$Z$51,L$56+1,FALSE)*$D$65*$A70/8760/1000*88%*IF($C70="Manufactured",IF(RIGHT($D70,4)&lt;&gt;"ered",'HVAC weighting'!$G$17,'HVAC weighting'!$G$18),IF(RIGHT($D70,4)&lt;&gt;"ered",'HVAC weighting'!$G$23,'HVAC weighting'!$G$24))*IFERROR(VLOOKUP(RIGHT('SC-NR'!$D70,4),'HVAC weighting'!$A$3:$C$8,MATCH('SC-NR'!$C70,'HVAC weighting'!$B$3:$C$3,0)+1,FALSE),1)</f>
        <v>3.4138737131232409E-2</v>
      </c>
      <c r="M70" s="29">
        <f ca="1">VLOOKUP($C70,$D$50:$Z$51,M$56+1,FALSE)*$D$65*$A70/8760/1000*88%*IF($C70="Manufactured",IF(RIGHT($D70,4)&lt;&gt;"ered",'HVAC weighting'!$G$17,'HVAC weighting'!$G$18),IF(RIGHT($D70,4)&lt;&gt;"ered",'HVAC weighting'!$G$23,'HVAC weighting'!$G$24))*IFERROR(VLOOKUP(RIGHT('SC-NR'!$D70,4),'HVAC weighting'!$A$3:$C$8,MATCH('SC-NR'!$C70,'HVAC weighting'!$B$3:$C$3,0)+1,FALSE),1)</f>
        <v>4.3760178124112314E-2</v>
      </c>
      <c r="N70" s="29">
        <f ca="1">VLOOKUP($C70,$D$50:$Z$51,N$56+1,FALSE)*$D$65*$A70/8760/1000*88%*IF($C70="Manufactured",IF(RIGHT($D70,4)&lt;&gt;"ered",'HVAC weighting'!$G$17,'HVAC weighting'!$G$18),IF(RIGHT($D70,4)&lt;&gt;"ered",'HVAC weighting'!$G$23,'HVAC weighting'!$G$24))*IFERROR(VLOOKUP(RIGHT('SC-NR'!$D70,4),'HVAC weighting'!$A$3:$C$8,MATCH('SC-NR'!$C70,'HVAC weighting'!$B$3:$C$3,0)+1,FALSE),1)</f>
        <v>5.3172071654904028E-2</v>
      </c>
      <c r="O70" s="29">
        <f ca="1">VLOOKUP($C70,$D$50:$Z$51,O$56+1,FALSE)*$D$65*$A70/8760/1000*88%*IF($C70="Manufactured",IF(RIGHT($D70,4)&lt;&gt;"ered",'HVAC weighting'!$G$17,'HVAC weighting'!$G$18),IF(RIGHT($D70,4)&lt;&gt;"ered",'HVAC weighting'!$G$23,'HVAC weighting'!$G$24))*IFERROR(VLOOKUP(RIGHT('SC-NR'!$D70,4),'HVAC weighting'!$A$3:$C$8,MATCH('SC-NR'!$C70,'HVAC weighting'!$B$3:$C$3,0)+1,FALSE),1)</f>
        <v>6.1726199353768649E-2</v>
      </c>
      <c r="P70" s="29">
        <f ca="1">VLOOKUP($C70,$D$50:$Z$51,P$56+1,FALSE)*$D$65*$A70/8760/1000*88%*IF($C70="Manufactured",IF(RIGHT($D70,4)&lt;&gt;"ered",'HVAC weighting'!$G$17,'HVAC weighting'!$G$18),IF(RIGHT($D70,4)&lt;&gt;"ered",'HVAC weighting'!$G$23,'HVAC weighting'!$G$24))*IFERROR(VLOOKUP(RIGHT('SC-NR'!$D70,4),'HVAC weighting'!$A$3:$C$8,MATCH('SC-NR'!$C70,'HVAC weighting'!$B$3:$C$3,0)+1,FALSE),1)</f>
        <v>6.8963307713046637E-2</v>
      </c>
      <c r="Q70" s="29">
        <f ca="1">VLOOKUP($C70,$D$50:$Z$51,Q$56+1,FALSE)*$D$65*$A70/8760/1000*88%*IF($C70="Manufactured",IF(RIGHT($D70,4)&lt;&gt;"ered",'HVAC weighting'!$G$17,'HVAC weighting'!$G$18),IF(RIGHT($D70,4)&lt;&gt;"ered",'HVAC weighting'!$G$23,'HVAC weighting'!$G$24))*IFERROR(VLOOKUP(RIGHT('SC-NR'!$D70,4),'HVAC weighting'!$A$3:$C$8,MATCH('SC-NR'!$C70,'HVAC weighting'!$B$3:$C$3,0)+1,FALSE),1)</f>
        <v>7.4660024693118845E-2</v>
      </c>
      <c r="R70" s="29">
        <f ca="1">VLOOKUP($C70,$D$50:$Z$51,R$56+1,FALSE)*$D$65*$A70/8760/1000*88%*IF($C70="Manufactured",IF(RIGHT($D70,4)&lt;&gt;"ered",'HVAC weighting'!$G$17,'HVAC weighting'!$G$18),IF(RIGHT($D70,4)&lt;&gt;"ered",'HVAC weighting'!$G$23,'HVAC weighting'!$G$24))*IFERROR(VLOOKUP(RIGHT('SC-NR'!$D70,4),'HVAC weighting'!$A$3:$C$8,MATCH('SC-NR'!$C70,'HVAC weighting'!$B$3:$C$3,0)+1,FALSE),1)</f>
        <v>8.2646194976636847E-2</v>
      </c>
      <c r="S70" s="29">
        <f ca="1">VLOOKUP($C70,$D$50:$Z$51,S$56+1,FALSE)*$D$65*$A70/8760/1000*88%*IF($C70="Manufactured",IF(RIGHT($D70,4)&lt;&gt;"ered",'HVAC weighting'!$G$17,'HVAC weighting'!$G$18),IF(RIGHT($D70,4)&lt;&gt;"ered",'HVAC weighting'!$G$23,'HVAC weighting'!$G$24))*IFERROR(VLOOKUP(RIGHT('SC-NR'!$D70,4),'HVAC weighting'!$A$3:$C$8,MATCH('SC-NR'!$C70,'HVAC weighting'!$B$3:$C$3,0)+1,FALSE),1)</f>
        <v>8.5587875391325813E-2</v>
      </c>
      <c r="T70" s="29">
        <f ca="1">VLOOKUP($C70,$D$50:$Z$51,T$56+1,FALSE)*$D$65*$A70/8760/1000*88%*IF($C70="Manufactured",IF(RIGHT($D70,4)&lt;&gt;"ered",'HVAC weighting'!$G$17,'HVAC weighting'!$G$18),IF(RIGHT($D70,4)&lt;&gt;"ered",'HVAC weighting'!$G$23,'HVAC weighting'!$G$24))*IFERROR(VLOOKUP(RIGHT('SC-NR'!$D70,4),'HVAC weighting'!$A$3:$C$8,MATCH('SC-NR'!$C70,'HVAC weighting'!$B$3:$C$3,0)+1,FALSE),1)</f>
        <v>8.7426390316808961E-2</v>
      </c>
      <c r="U70" s="29">
        <f ca="1">VLOOKUP($C70,$D$50:$Z$51,U$56+1,FALSE)*$D$65*$A70/8760/1000*88%*IF($C70="Manufactured",IF(RIGHT($D70,4)&lt;&gt;"ered",'HVAC weighting'!$G$17,'HVAC weighting'!$G$18),IF(RIGHT($D70,4)&lt;&gt;"ered",'HVAC weighting'!$G$23,'HVAC weighting'!$G$24))*IFERROR(VLOOKUP(RIGHT('SC-NR'!$D70,4),'HVAC weighting'!$A$3:$C$8,MATCH('SC-NR'!$C70,'HVAC weighting'!$B$3:$C$3,0)+1,FALSE),1)</f>
        <v>8.8316520693655476E-2</v>
      </c>
      <c r="V70" s="29">
        <f ca="1">VLOOKUP($C70,$D$50:$Z$51,V$56+1,FALSE)*$D$65*$A70/8760/1000*88%*IF($C70="Manufactured",IF(RIGHT($D70,4)&lt;&gt;"ered",'HVAC weighting'!$G$17,'HVAC weighting'!$G$18),IF(RIGHT($D70,4)&lt;&gt;"ered",'HVAC weighting'!$G$23,'HVAC weighting'!$G$24))*IFERROR(VLOOKUP(RIGHT('SC-NR'!$D70,4),'HVAC weighting'!$A$3:$C$8,MATCH('SC-NR'!$C70,'HVAC weighting'!$B$3:$C$3,0)+1,FALSE),1)</f>
        <v>8.8204890786061099E-2</v>
      </c>
      <c r="W70" s="29">
        <f ca="1">VLOOKUP($C70,$D$50:$Z$51,W$56+1,FALSE)*$D$65*$A70/8760/1000*88%*IF($C70="Manufactured",IF(RIGHT($D70,4)&lt;&gt;"ered",'HVAC weighting'!$G$17,'HVAC weighting'!$G$18),IF(RIGHT($D70,4)&lt;&gt;"ered",'HVAC weighting'!$G$23,'HVAC weighting'!$G$24))*IFERROR(VLOOKUP(RIGHT('SC-NR'!$D70,4),'HVAC weighting'!$A$3:$C$8,MATCH('SC-NR'!$C70,'HVAC weighting'!$B$3:$C$3,0)+1,FALSE),1)</f>
        <v>8.765791833744617E-2</v>
      </c>
      <c r="X70" s="29">
        <f ca="1">VLOOKUP($C70,$D$50:$Z$51,X$56+1,FALSE)*$D$65*$A70/8760/1000*88%*IF($C70="Manufactured",IF(RIGHT($D70,4)&lt;&gt;"ered",'HVAC weighting'!$G$17,'HVAC weighting'!$G$18),IF(RIGHT($D70,4)&lt;&gt;"ered",'HVAC weighting'!$G$23,'HVAC weighting'!$G$24))*IFERROR(VLOOKUP(RIGHT('SC-NR'!$D70,4),'HVAC weighting'!$A$3:$C$8,MATCH('SC-NR'!$C70,'HVAC weighting'!$B$3:$C$3,0)+1,FALSE),1)</f>
        <v>8.6845959387519836E-2</v>
      </c>
      <c r="Y70" s="29">
        <f ca="1">(VLOOKUP($C70,$D$37:$Z$38,$X$56+3,FALSE)+VLOOKUP($C70,$D$43:$Z$44,$X$56+3,FALSE))*$A70*$D$65/8760/1000*88%*IF($C70="Manufactured",IF(RIGHT($D70,4)&lt;&gt;"ered",'HVAC weighting'!$G$17,'HVAC weighting'!$G$18),IF(RIGHT($D70,4)&lt;&gt;"ered",'HVAC weighting'!$G$23,'HVAC weighting'!$G$24))*IFERROR(VLOOKUP(RIGHT('SC-NR'!$D70,4),'HVAC weighting'!$A$3:$C$8,MATCH('SC-NR'!$C70,'HVAC weighting'!$B$3:$C$3,0)+1,FALSE),1)</f>
        <v>1.1175144541463755</v>
      </c>
      <c r="AA70" s="29">
        <f t="shared" ca="1" si="28"/>
        <v>1.0073549288239001</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A71" s="58">
        <f t="shared" si="25"/>
        <v>1351.2543502462204</v>
      </c>
      <c r="B71" s="58">
        <f t="shared" si="26"/>
        <v>68.882019400713702</v>
      </c>
      <c r="C71" s="7" t="str">
        <f t="shared" si="27"/>
        <v>Manufactured</v>
      </c>
      <c r="D71" s="7" t="s">
        <v>484</v>
      </c>
      <c r="E71" s="29">
        <f ca="1">VLOOKUP($C71,$D$50:$Z$51,E$56+1,FALSE)*$D$65*$A71/8760/1000*88%*IF($C71="Manufactured",IF(RIGHT($D71,4)&lt;&gt;"ered",'HVAC weighting'!$G$17,'HVAC weighting'!$G$18),IF(RIGHT($D71,4)&lt;&gt;"ered",'HVAC weighting'!$G$23,'HVAC weighting'!$G$24))*IFERROR(VLOOKUP(RIGHT('SC-NR'!$D71,4),'HVAC weighting'!$A$3:$C$8,MATCH('SC-NR'!$C71,'HVAC weighting'!$B$3:$C$3,0)+1,FALSE),1)</f>
        <v>4.1156034392078669E-3</v>
      </c>
      <c r="F71" s="29">
        <f ca="1">VLOOKUP($C71,$D$50:$Z$51,F$56+1,FALSE)*$D$65*$A71/8760/1000*88%*IF($C71="Manufactured",IF(RIGHT($D71,4)&lt;&gt;"ered",'HVAC weighting'!$G$17,'HVAC weighting'!$G$18),IF(RIGHT($D71,4)&lt;&gt;"ered",'HVAC weighting'!$G$23,'HVAC weighting'!$G$24))*IFERROR(VLOOKUP(RIGHT('SC-NR'!$D71,4),'HVAC weighting'!$A$3:$C$8,MATCH('SC-NR'!$C71,'HVAC weighting'!$B$3:$C$3,0)+1,FALSE),1)</f>
        <v>1.0471828822319151E-2</v>
      </c>
      <c r="G71" s="29">
        <f ca="1">VLOOKUP($C71,$D$50:$Z$51,G$56+1,FALSE)*$D$65*$A71/8760/1000*88%*IF($C71="Manufactured",IF(RIGHT($D71,4)&lt;&gt;"ered",'HVAC weighting'!$G$17,'HVAC weighting'!$G$18),IF(RIGHT($D71,4)&lt;&gt;"ered",'HVAC weighting'!$G$23,'HVAC weighting'!$G$24))*IFERROR(VLOOKUP(RIGHT('SC-NR'!$D71,4),'HVAC weighting'!$A$3:$C$8,MATCH('SC-NR'!$C71,'HVAC weighting'!$B$3:$C$3,0)+1,FALSE),1)</f>
        <v>2.3023536202726985E-2</v>
      </c>
      <c r="H71" s="29">
        <f ca="1">VLOOKUP($C71,$D$50:$Z$51,H$56+1,FALSE)*$D$65*$A71/8760/1000*88%*IF($C71="Manufactured",IF(RIGHT($D71,4)&lt;&gt;"ered",'HVAC weighting'!$G$17,'HVAC weighting'!$G$18),IF(RIGHT($D71,4)&lt;&gt;"ered",'HVAC weighting'!$G$23,'HVAC weighting'!$G$24))*IFERROR(VLOOKUP(RIGHT('SC-NR'!$D71,4),'HVAC weighting'!$A$3:$C$8,MATCH('SC-NR'!$C71,'HVAC weighting'!$B$3:$C$3,0)+1,FALSE),1)</f>
        <v>4.4701980529802364E-2</v>
      </c>
      <c r="I71" s="29">
        <f ca="1">VLOOKUP($C71,$D$50:$Z$51,I$56+1,FALSE)*$D$65*$A71/8760/1000*88%*IF($C71="Manufactured",IF(RIGHT($D71,4)&lt;&gt;"ered",'HVAC weighting'!$G$17,'HVAC weighting'!$G$18),IF(RIGHT($D71,4)&lt;&gt;"ered",'HVAC weighting'!$G$23,'HVAC weighting'!$G$24))*IFERROR(VLOOKUP(RIGHT('SC-NR'!$D71,4),'HVAC weighting'!$A$3:$C$8,MATCH('SC-NR'!$C71,'HVAC weighting'!$B$3:$C$3,0)+1,FALSE),1)</f>
        <v>7.7964546233497536E-2</v>
      </c>
      <c r="J71" s="29">
        <f ca="1">VLOOKUP($C71,$D$50:$Z$51,J$56+1,FALSE)*$D$65*$A71/8760/1000*88%*IF($C71="Manufactured",IF(RIGHT($D71,4)&lt;&gt;"ered",'HVAC weighting'!$G$17,'HVAC weighting'!$G$18),IF(RIGHT($D71,4)&lt;&gt;"ered",'HVAC weighting'!$G$23,'HVAC weighting'!$G$24))*IFERROR(VLOOKUP(RIGHT('SC-NR'!$D71,4),'HVAC weighting'!$A$3:$C$8,MATCH('SC-NR'!$C71,'HVAC weighting'!$B$3:$C$3,0)+1,FALSE),1)</f>
        <v>0.12386293850392205</v>
      </c>
      <c r="K71" s="29">
        <f ca="1">VLOOKUP($C71,$D$50:$Z$51,K$56+1,FALSE)*$D$65*$A71/8760/1000*88%*IF($C71="Manufactured",IF(RIGHT($D71,4)&lt;&gt;"ered",'HVAC weighting'!$G$17,'HVAC weighting'!$G$18),IF(RIGHT($D71,4)&lt;&gt;"ered",'HVAC weighting'!$G$23,'HVAC weighting'!$G$24))*IFERROR(VLOOKUP(RIGHT('SC-NR'!$D71,4),'HVAC weighting'!$A$3:$C$8,MATCH('SC-NR'!$C71,'HVAC weighting'!$B$3:$C$3,0)+1,FALSE),1)</f>
        <v>0.18138017123450484</v>
      </c>
      <c r="L71" s="29">
        <f ca="1">VLOOKUP($C71,$D$50:$Z$51,L$56+1,FALSE)*$D$65*$A71/8760/1000*88%*IF($C71="Manufactured",IF(RIGHT($D71,4)&lt;&gt;"ered",'HVAC weighting'!$G$17,'HVAC weighting'!$G$18),IF(RIGHT($D71,4)&lt;&gt;"ered",'HVAC weighting'!$G$23,'HVAC weighting'!$G$24))*IFERROR(VLOOKUP(RIGHT('SC-NR'!$D71,4),'HVAC weighting'!$A$3:$C$8,MATCH('SC-NR'!$C71,'HVAC weighting'!$B$3:$C$3,0)+1,FALSE),1)</f>
        <v>0.24735590589342885</v>
      </c>
      <c r="M71" s="29">
        <f ca="1">VLOOKUP($C71,$D$50:$Z$51,M$56+1,FALSE)*$D$65*$A71/8760/1000*88%*IF($C71="Manufactured",IF(RIGHT($D71,4)&lt;&gt;"ered",'HVAC weighting'!$G$17,'HVAC weighting'!$G$18),IF(RIGHT($D71,4)&lt;&gt;"ered",'HVAC weighting'!$G$23,'HVAC weighting'!$G$24))*IFERROR(VLOOKUP(RIGHT('SC-NR'!$D71,4),'HVAC weighting'!$A$3:$C$8,MATCH('SC-NR'!$C71,'HVAC weighting'!$B$3:$C$3,0)+1,FALSE),1)</f>
        <v>0.31706909544831341</v>
      </c>
      <c r="N71" s="29">
        <f ca="1">VLOOKUP($C71,$D$50:$Z$51,N$56+1,FALSE)*$D$65*$A71/8760/1000*88%*IF($C71="Manufactured",IF(RIGHT($D71,4)&lt;&gt;"ered",'HVAC weighting'!$G$17,'HVAC weighting'!$G$18),IF(RIGHT($D71,4)&lt;&gt;"ered",'HVAC weighting'!$G$23,'HVAC weighting'!$G$24))*IFERROR(VLOOKUP(RIGHT('SC-NR'!$D71,4),'HVAC weighting'!$A$3:$C$8,MATCH('SC-NR'!$C71,'HVAC weighting'!$B$3:$C$3,0)+1,FALSE),1)</f>
        <v>0.38526398624149372</v>
      </c>
      <c r="O71" s="29">
        <f ca="1">VLOOKUP($C71,$D$50:$Z$51,O$56+1,FALSE)*$D$65*$A71/8760/1000*88%*IF($C71="Manufactured",IF(RIGHT($D71,4)&lt;&gt;"ered",'HVAC weighting'!$G$17,'HVAC weighting'!$G$18),IF(RIGHT($D71,4)&lt;&gt;"ered",'HVAC weighting'!$G$23,'HVAC weighting'!$G$24))*IFERROR(VLOOKUP(RIGHT('SC-NR'!$D71,4),'HVAC weighting'!$A$3:$C$8,MATCH('SC-NR'!$C71,'HVAC weighting'!$B$3:$C$3,0)+1,FALSE),1)</f>
        <v>0.44724384208522239</v>
      </c>
      <c r="P71" s="29">
        <f ca="1">VLOOKUP($C71,$D$50:$Z$51,P$56+1,FALSE)*$D$65*$A71/8760/1000*88%*IF($C71="Manufactured",IF(RIGHT($D71,4)&lt;&gt;"ered",'HVAC weighting'!$G$17,'HVAC weighting'!$G$18),IF(RIGHT($D71,4)&lt;&gt;"ered",'HVAC weighting'!$G$23,'HVAC weighting'!$G$24))*IFERROR(VLOOKUP(RIGHT('SC-NR'!$D71,4),'HVAC weighting'!$A$3:$C$8,MATCH('SC-NR'!$C71,'HVAC weighting'!$B$3:$C$3,0)+1,FALSE),1)</f>
        <v>0.49968109210348288</v>
      </c>
      <c r="Q71" s="29">
        <f ca="1">VLOOKUP($C71,$D$50:$Z$51,Q$56+1,FALSE)*$D$65*$A71/8760/1000*88%*IF($C71="Manufactured",IF(RIGHT($D71,4)&lt;&gt;"ered",'HVAC weighting'!$G$17,'HVAC weighting'!$G$18),IF(RIGHT($D71,4)&lt;&gt;"ered",'HVAC weighting'!$G$23,'HVAC weighting'!$G$24))*IFERROR(VLOOKUP(RIGHT('SC-NR'!$D71,4),'HVAC weighting'!$A$3:$C$8,MATCH('SC-NR'!$C71,'HVAC weighting'!$B$3:$C$3,0)+1,FALSE),1)</f>
        <v>0.54095727006541117</v>
      </c>
      <c r="R71" s="29">
        <f ca="1">VLOOKUP($C71,$D$50:$Z$51,R$56+1,FALSE)*$D$65*$A71/8760/1000*88%*IF($C71="Manufactured",IF(RIGHT($D71,4)&lt;&gt;"ered",'HVAC weighting'!$G$17,'HVAC weighting'!$G$18),IF(RIGHT($D71,4)&lt;&gt;"ered",'HVAC weighting'!$G$23,'HVAC weighting'!$G$24))*IFERROR(VLOOKUP(RIGHT('SC-NR'!$D71,4),'HVAC weighting'!$A$3:$C$8,MATCH('SC-NR'!$C71,'HVAC weighting'!$B$3:$C$3,0)+1,FALSE),1)</f>
        <v>0.59882192913305798</v>
      </c>
      <c r="S71" s="29">
        <f ca="1">VLOOKUP($C71,$D$50:$Z$51,S$56+1,FALSE)*$D$65*$A71/8760/1000*88%*IF($C71="Manufactured",IF(RIGHT($D71,4)&lt;&gt;"ered",'HVAC weighting'!$G$17,'HVAC weighting'!$G$18),IF(RIGHT($D71,4)&lt;&gt;"ered",'HVAC weighting'!$G$23,'HVAC weighting'!$G$24))*IFERROR(VLOOKUP(RIGHT('SC-NR'!$D71,4),'HVAC weighting'!$A$3:$C$8,MATCH('SC-NR'!$C71,'HVAC weighting'!$B$3:$C$3,0)+1,FALSE),1)</f>
        <v>0.62013619219519833</v>
      </c>
      <c r="T71" s="29">
        <f ca="1">VLOOKUP($C71,$D$50:$Z$51,T$56+1,FALSE)*$D$65*$A71/8760/1000*88%*IF($C71="Manufactured",IF(RIGHT($D71,4)&lt;&gt;"ered",'HVAC weighting'!$G$17,'HVAC weighting'!$G$18),IF(RIGHT($D71,4)&lt;&gt;"ered",'HVAC weighting'!$G$23,'HVAC weighting'!$G$24))*IFERROR(VLOOKUP(RIGHT('SC-NR'!$D71,4),'HVAC weighting'!$A$3:$C$8,MATCH('SC-NR'!$C71,'HVAC weighting'!$B$3:$C$3,0)+1,FALSE),1)</f>
        <v>0.63345735059491604</v>
      </c>
      <c r="U71" s="29">
        <f ca="1">VLOOKUP($C71,$D$50:$Z$51,U$56+1,FALSE)*$D$65*$A71/8760/1000*88%*IF($C71="Manufactured",IF(RIGHT($D71,4)&lt;&gt;"ered",'HVAC weighting'!$G$17,'HVAC weighting'!$G$18),IF(RIGHT($D71,4)&lt;&gt;"ered",'HVAC weighting'!$G$23,'HVAC weighting'!$G$24))*IFERROR(VLOOKUP(RIGHT('SC-NR'!$D71,4),'HVAC weighting'!$A$3:$C$8,MATCH('SC-NR'!$C71,'HVAC weighting'!$B$3:$C$3,0)+1,FALSE),1)</f>
        <v>0.63990688634902859</v>
      </c>
      <c r="V71" s="29">
        <f ca="1">VLOOKUP($C71,$D$50:$Z$51,V$56+1,FALSE)*$D$65*$A71/8760/1000*88%*IF($C71="Manufactured",IF(RIGHT($D71,4)&lt;&gt;"ered",'HVAC weighting'!$G$17,'HVAC weighting'!$G$18),IF(RIGHT($D71,4)&lt;&gt;"ered",'HVAC weighting'!$G$23,'HVAC weighting'!$G$24))*IFERROR(VLOOKUP(RIGHT('SC-NR'!$D71,4),'HVAC weighting'!$A$3:$C$8,MATCH('SC-NR'!$C71,'HVAC weighting'!$B$3:$C$3,0)+1,FALSE),1)</f>
        <v>0.63909805980071011</v>
      </c>
      <c r="W71" s="29">
        <f ca="1">VLOOKUP($C71,$D$50:$Z$51,W$56+1,FALSE)*$D$65*$A71/8760/1000*88%*IF($C71="Manufactured",IF(RIGHT($D71,4)&lt;&gt;"ered",'HVAC weighting'!$G$17,'HVAC weighting'!$G$18),IF(RIGHT($D71,4)&lt;&gt;"ered",'HVAC weighting'!$G$23,'HVAC weighting'!$G$24))*IFERROR(VLOOKUP(RIGHT('SC-NR'!$D71,4),'HVAC weighting'!$A$3:$C$8,MATCH('SC-NR'!$C71,'HVAC weighting'!$B$3:$C$3,0)+1,FALSE),1)</f>
        <v>0.63513491186686</v>
      </c>
      <c r="X71" s="29">
        <f ca="1">VLOOKUP($C71,$D$50:$Z$51,X$56+1,FALSE)*$D$65*$A71/8760/1000*88%*IF($C71="Manufactured",IF(RIGHT($D71,4)&lt;&gt;"ered",'HVAC weighting'!$G$17,'HVAC weighting'!$G$18),IF(RIGHT($D71,4)&lt;&gt;"ered",'HVAC weighting'!$G$23,'HVAC weighting'!$G$24))*IFERROR(VLOOKUP(RIGHT('SC-NR'!$D71,4),'HVAC weighting'!$A$3:$C$8,MATCH('SC-NR'!$C71,'HVAC weighting'!$B$3:$C$3,0)+1,FALSE),1)</f>
        <v>0.62925177562678047</v>
      </c>
      <c r="Y71" s="29">
        <f ca="1">(VLOOKUP($C71,$D$37:$Z$38,$X$56+3,FALSE)+VLOOKUP($C71,$D$43:$Z$44,$X$56+3,FALSE))*$A71*$D$65/8760/1000*88%*IF($C71="Manufactured",IF(RIGHT($D71,4)&lt;&gt;"ered",'HVAC weighting'!$G$17,'HVAC weighting'!$G$18),IF(RIGHT($D71,4)&lt;&gt;"ered",'HVAC weighting'!$G$23,'HVAC weighting'!$G$24))*IFERROR(VLOOKUP(RIGHT('SC-NR'!$D71,4),'HVAC weighting'!$A$3:$C$8,MATCH('SC-NR'!$C71,'HVAC weighting'!$B$3:$C$3,0)+1,FALSE),1)</f>
        <v>8.0970716371779954</v>
      </c>
      <c r="AA71" s="29">
        <f t="shared" ca="1" si="28"/>
        <v>7.298898902369884</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A72" s="58">
        <f t="shared" si="25"/>
        <v>1358.6845229206428</v>
      </c>
      <c r="B72" s="58">
        <f t="shared" si="26"/>
        <v>69.179824093007909</v>
      </c>
      <c r="C72" s="7" t="str">
        <f t="shared" si="27"/>
        <v>Single Family</v>
      </c>
      <c r="D72" s="7" t="s">
        <v>473</v>
      </c>
      <c r="E72" s="29">
        <f ca="1">VLOOKUP($C72,$D$50:$Z$51,E$56+1,FALSE)*$D$65*$A72/8760/1000*88%*IF($C72="Manufactured",IF(RIGHT($D72,4)&lt;&gt;"ered",'HVAC weighting'!$G$17,'HVAC weighting'!$G$18),IF(RIGHT($D72,4)&lt;&gt;"ered",'HVAC weighting'!$G$23,'HVAC weighting'!$G$24))*IFERROR(VLOOKUP(RIGHT('SC-NR'!$D72,4),'HVAC weighting'!$A$3:$C$8,MATCH('SC-NR'!$C72,'HVAC weighting'!$B$3:$C$3,0)+1,FALSE),1)</f>
        <v>8.4083410299338555E-3</v>
      </c>
      <c r="F72" s="29">
        <f ca="1">VLOOKUP($C72,$D$50:$Z$51,F$56+1,FALSE)*$D$65*$A72/8760/1000*88%*IF($C72="Manufactured",IF(RIGHT($D72,4)&lt;&gt;"ered",'HVAC weighting'!$G$17,'HVAC weighting'!$G$18),IF(RIGHT($D72,4)&lt;&gt;"ered",'HVAC weighting'!$G$23,'HVAC weighting'!$G$24))*IFERROR(VLOOKUP(RIGHT('SC-NR'!$D72,4),'HVAC weighting'!$A$3:$C$8,MATCH('SC-NR'!$C72,'HVAC weighting'!$B$3:$C$3,0)+1,FALSE),1)</f>
        <v>2.1576365957854959E-2</v>
      </c>
      <c r="G72" s="29">
        <f ca="1">VLOOKUP($C72,$D$50:$Z$51,G$56+1,FALSE)*$D$65*$A72/8760/1000*88%*IF($C72="Manufactured",IF(RIGHT($D72,4)&lt;&gt;"ered",'HVAC weighting'!$G$17,'HVAC weighting'!$G$18),IF(RIGHT($D72,4)&lt;&gt;"ered",'HVAC weighting'!$G$23,'HVAC weighting'!$G$24))*IFERROR(VLOOKUP(RIGHT('SC-NR'!$D72,4),'HVAC weighting'!$A$3:$C$8,MATCH('SC-NR'!$C72,'HVAC weighting'!$B$3:$C$3,0)+1,FALSE),1)</f>
        <v>4.7841717488581376E-2</v>
      </c>
      <c r="H72" s="29">
        <f ca="1">VLOOKUP($C72,$D$50:$Z$51,H$56+1,FALSE)*$D$65*$A72/8760/1000*88%*IF($C72="Manufactured",IF(RIGHT($D72,4)&lt;&gt;"ered",'HVAC weighting'!$G$17,'HVAC weighting'!$G$18),IF(RIGHT($D72,4)&lt;&gt;"ered",'HVAC weighting'!$G$23,'HVAC weighting'!$G$24))*IFERROR(VLOOKUP(RIGHT('SC-NR'!$D72,4),'HVAC weighting'!$A$3:$C$8,MATCH('SC-NR'!$C72,'HVAC weighting'!$B$3:$C$3,0)+1,FALSE),1)</f>
        <v>9.3678616483042446E-2</v>
      </c>
      <c r="I72" s="29">
        <f ca="1">VLOOKUP($C72,$D$50:$Z$51,I$56+1,FALSE)*$D$65*$A72/8760/1000*88%*IF($C72="Manufactured",IF(RIGHT($D72,4)&lt;&gt;"ered",'HVAC weighting'!$G$17,'HVAC weighting'!$G$18),IF(RIGHT($D72,4)&lt;&gt;"ered",'HVAC weighting'!$G$23,'HVAC weighting'!$G$24))*IFERROR(VLOOKUP(RIGHT('SC-NR'!$D72,4),'HVAC weighting'!$A$3:$C$8,MATCH('SC-NR'!$C72,'HVAC weighting'!$B$3:$C$3,0)+1,FALSE),1)</f>
        <v>0.16477443364090347</v>
      </c>
      <c r="J72" s="29">
        <f ca="1">VLOOKUP($C72,$D$50:$Z$51,J$56+1,FALSE)*$D$65*$A72/8760/1000*88%*IF($C72="Manufactured",IF(RIGHT($D72,4)&lt;&gt;"ered",'HVAC weighting'!$G$17,'HVAC weighting'!$G$18),IF(RIGHT($D72,4)&lt;&gt;"ered",'HVAC weighting'!$G$23,'HVAC weighting'!$G$24))*IFERROR(VLOOKUP(RIGHT('SC-NR'!$D72,4),'HVAC weighting'!$A$3:$C$8,MATCH('SC-NR'!$C72,'HVAC weighting'!$B$3:$C$3,0)+1,FALSE),1)</f>
        <v>0.26400552752836864</v>
      </c>
      <c r="K72" s="29">
        <f ca="1">VLOOKUP($C72,$D$50:$Z$51,K$56+1,FALSE)*$D$65*$A72/8760/1000*88%*IF($C72="Manufactured",IF(RIGHT($D72,4)&lt;&gt;"ered",'HVAC weighting'!$G$17,'HVAC weighting'!$G$18),IF(RIGHT($D72,4)&lt;&gt;"ered",'HVAC weighting'!$G$23,'HVAC weighting'!$G$24))*IFERROR(VLOOKUP(RIGHT('SC-NR'!$D72,4),'HVAC weighting'!$A$3:$C$8,MATCH('SC-NR'!$C72,'HVAC weighting'!$B$3:$C$3,0)+1,FALSE),1)</f>
        <v>0.389888492674626</v>
      </c>
      <c r="L72" s="29">
        <f ca="1">VLOOKUP($C72,$D$50:$Z$51,L$56+1,FALSE)*$D$65*$A72/8760/1000*88%*IF($C72="Manufactured",IF(RIGHT($D72,4)&lt;&gt;"ered",'HVAC weighting'!$G$17,'HVAC weighting'!$G$18),IF(RIGHT($D72,4)&lt;&gt;"ered",'HVAC weighting'!$G$23,'HVAC weighting'!$G$24))*IFERROR(VLOOKUP(RIGHT('SC-NR'!$D72,4),'HVAC weighting'!$A$3:$C$8,MATCH('SC-NR'!$C72,'HVAC weighting'!$B$3:$C$3,0)+1,FALSE),1)</f>
        <v>0.53623093278117273</v>
      </c>
      <c r="M72" s="29">
        <f ca="1">VLOOKUP($C72,$D$50:$Z$51,M$56+1,FALSE)*$D$65*$A72/8760/1000*88%*IF($C72="Manufactured",IF(RIGHT($D72,4)&lt;&gt;"ered",'HVAC weighting'!$G$17,'HVAC weighting'!$G$18),IF(RIGHT($D72,4)&lt;&gt;"ered",'HVAC weighting'!$G$23,'HVAC weighting'!$G$24))*IFERROR(VLOOKUP(RIGHT('SC-NR'!$D72,4),'HVAC weighting'!$A$3:$C$8,MATCH('SC-NR'!$C72,'HVAC weighting'!$B$3:$C$3,0)+1,FALSE),1)</f>
        <v>0.69320623674779946</v>
      </c>
      <c r="N72" s="29">
        <f ca="1">VLOOKUP($C72,$D$50:$Z$51,N$56+1,FALSE)*$D$65*$A72/8760/1000*88%*IF($C72="Manufactured",IF(RIGHT($D72,4)&lt;&gt;"ered",'HVAC weighting'!$G$17,'HVAC weighting'!$G$18),IF(RIGHT($D72,4)&lt;&gt;"ered",'HVAC weighting'!$G$23,'HVAC weighting'!$G$24))*IFERROR(VLOOKUP(RIGHT('SC-NR'!$D72,4),'HVAC weighting'!$A$3:$C$8,MATCH('SC-NR'!$C72,'HVAC weighting'!$B$3:$C$3,0)+1,FALSE),1)</f>
        <v>0.84946586249747158</v>
      </c>
      <c r="O72" s="29">
        <f ca="1">VLOOKUP($C72,$D$50:$Z$51,O$56+1,FALSE)*$D$65*$A72/8760/1000*88%*IF($C72="Manufactured",IF(RIGHT($D72,4)&lt;&gt;"ered",'HVAC weighting'!$G$17,'HVAC weighting'!$G$18),IF(RIGHT($D72,4)&lt;&gt;"ered",'HVAC weighting'!$G$23,'HVAC weighting'!$G$24))*IFERROR(VLOOKUP(RIGHT('SC-NR'!$D72,4),'HVAC weighting'!$A$3:$C$8,MATCH('SC-NR'!$C72,'HVAC weighting'!$B$3:$C$3,0)+1,FALSE),1)</f>
        <v>0.99451389491984898</v>
      </c>
      <c r="P72" s="29">
        <f ca="1">VLOOKUP($C72,$D$50:$Z$51,P$56+1,FALSE)*$D$65*$A72/8760/1000*88%*IF($C72="Manufactured",IF(RIGHT($D72,4)&lt;&gt;"ered",'HVAC weighting'!$G$17,'HVAC weighting'!$G$18),IF(RIGHT($D72,4)&lt;&gt;"ered",'HVAC weighting'!$G$23,'HVAC weighting'!$G$24))*IFERROR(VLOOKUP(RIGHT('SC-NR'!$D72,4),'HVAC weighting'!$A$3:$C$8,MATCH('SC-NR'!$C72,'HVAC weighting'!$B$3:$C$3,0)+1,FALSE),1)</f>
        <v>1.1205683985169836</v>
      </c>
      <c r="Q72" s="29">
        <f ca="1">VLOOKUP($C72,$D$50:$Z$51,Q$56+1,FALSE)*$D$65*$A72/8760/1000*88%*IF($C72="Manufactured",IF(RIGHT($D72,4)&lt;&gt;"ered",'HVAC weighting'!$G$17,'HVAC weighting'!$G$18),IF(RIGHT($D72,4)&lt;&gt;"ered",'HVAC weighting'!$G$23,'HVAC weighting'!$G$24))*IFERROR(VLOOKUP(RIGHT('SC-NR'!$D72,4),'HVAC weighting'!$A$3:$C$8,MATCH('SC-NR'!$C72,'HVAC weighting'!$B$3:$C$3,0)+1,FALSE),1)</f>
        <v>1.2234532677499981</v>
      </c>
      <c r="R72" s="29">
        <f ca="1">VLOOKUP($C72,$D$50:$Z$51,R$56+1,FALSE)*$D$65*$A72/8760/1000*88%*IF($C72="Manufactured",IF(RIGHT($D72,4)&lt;&gt;"ered",'HVAC weighting'!$G$17,'HVAC weighting'!$G$18),IF(RIGHT($D72,4)&lt;&gt;"ered",'HVAC weighting'!$G$23,'HVAC weighting'!$G$24))*IFERROR(VLOOKUP(RIGHT('SC-NR'!$D72,4),'HVAC weighting'!$A$3:$C$8,MATCH('SC-NR'!$C72,'HVAC weighting'!$B$3:$C$3,0)+1,FALSE),1)</f>
        <v>1.5614092325757103</v>
      </c>
      <c r="S72" s="29">
        <f ca="1">VLOOKUP($C72,$D$50:$Z$51,S$56+1,FALSE)*$D$65*$A72/8760/1000*88%*IF($C72="Manufactured",IF(RIGHT($D72,4)&lt;&gt;"ered",'HVAC weighting'!$G$17,'HVAC weighting'!$G$18),IF(RIGHT($D72,4)&lt;&gt;"ered",'HVAC weighting'!$G$23,'HVAC weighting'!$G$24))*IFERROR(VLOOKUP(RIGHT('SC-NR'!$D72,4),'HVAC weighting'!$A$3:$C$8,MATCH('SC-NR'!$C72,'HVAC weighting'!$B$3:$C$3,0)+1,FALSE),1)</f>
        <v>1.6169849334959361</v>
      </c>
      <c r="T72" s="29">
        <f ca="1">VLOOKUP($C72,$D$50:$Z$51,T$56+1,FALSE)*$D$65*$A72/8760/1000*88%*IF($C72="Manufactured",IF(RIGHT($D72,4)&lt;&gt;"ered",'HVAC weighting'!$G$17,'HVAC weighting'!$G$18),IF(RIGHT($D72,4)&lt;&gt;"ered",'HVAC weighting'!$G$23,'HVAC weighting'!$G$24))*IFERROR(VLOOKUP(RIGHT('SC-NR'!$D72,4),'HVAC weighting'!$A$3:$C$8,MATCH('SC-NR'!$C72,'HVAC weighting'!$B$3:$C$3,0)+1,FALSE),1)</f>
        <v>1.6464666977968025</v>
      </c>
      <c r="U72" s="29">
        <f ca="1">VLOOKUP($C72,$D$50:$Z$51,U$56+1,FALSE)*$D$65*$A72/8760/1000*88%*IF($C72="Manufactured",IF(RIGHT($D72,4)&lt;&gt;"ered",'HVAC weighting'!$G$17,'HVAC weighting'!$G$18),IF(RIGHT($D72,4)&lt;&gt;"ered",'HVAC weighting'!$G$23,'HVAC weighting'!$G$24))*IFERROR(VLOOKUP(RIGHT('SC-NR'!$D72,4),'HVAC weighting'!$A$3:$C$8,MATCH('SC-NR'!$C72,'HVAC weighting'!$B$3:$C$3,0)+1,FALSE),1)</f>
        <v>1.661808067760719</v>
      </c>
      <c r="V72" s="29">
        <f ca="1">VLOOKUP($C72,$D$50:$Z$51,V$56+1,FALSE)*$D$65*$A72/8760/1000*88%*IF($C72="Manufactured",IF(RIGHT($D72,4)&lt;&gt;"ered",'HVAC weighting'!$G$17,'HVAC weighting'!$G$18),IF(RIGHT($D72,4)&lt;&gt;"ered",'HVAC weighting'!$G$23,'HVAC weighting'!$G$24))*IFERROR(VLOOKUP(RIGHT('SC-NR'!$D72,4),'HVAC weighting'!$A$3:$C$8,MATCH('SC-NR'!$C72,'HVAC weighting'!$B$3:$C$3,0)+1,FALSE),1)</f>
        <v>1.663361518739815</v>
      </c>
      <c r="W72" s="29">
        <f ca="1">VLOOKUP($C72,$D$50:$Z$51,W$56+1,FALSE)*$D$65*$A72/8760/1000*88%*IF($C72="Manufactured",IF(RIGHT($D72,4)&lt;&gt;"ered",'HVAC weighting'!$G$17,'HVAC weighting'!$G$18),IF(RIGHT($D72,4)&lt;&gt;"ered",'HVAC weighting'!$G$23,'HVAC weighting'!$G$24))*IFERROR(VLOOKUP(RIGHT('SC-NR'!$D72,4),'HVAC weighting'!$A$3:$C$8,MATCH('SC-NR'!$C72,'HVAC weighting'!$B$3:$C$3,0)+1,FALSE),1)</f>
        <v>1.6491473763776292</v>
      </c>
      <c r="X72" s="29">
        <f ca="1">VLOOKUP($C72,$D$50:$Z$51,X$56+1,FALSE)*$D$65*$A72/8760/1000*88%*IF($C72="Manufactured",IF(RIGHT($D72,4)&lt;&gt;"ered",'HVAC weighting'!$G$17,'HVAC weighting'!$G$18),IF(RIGHT($D72,4)&lt;&gt;"ered",'HVAC weighting'!$G$23,'HVAC weighting'!$G$24))*IFERROR(VLOOKUP(RIGHT('SC-NR'!$D72,4),'HVAC weighting'!$A$3:$C$8,MATCH('SC-NR'!$C72,'HVAC weighting'!$B$3:$C$3,0)+1,FALSE),1)</f>
        <v>1.6315458326146923</v>
      </c>
      <c r="Y72" s="29">
        <f ca="1">(VLOOKUP($C72,$D$37:$Z$38,$X$56+3,FALSE)+VLOOKUP($C72,$D$43:$Z$44,$X$56+3,FALSE))*$A72*$D$65/8760/1000*88%*IF($C72="Manufactured",IF(RIGHT($D72,4)&lt;&gt;"ered",'HVAC weighting'!$G$17,'HVAC weighting'!$G$18),IF(RIGHT($D72,4)&lt;&gt;"ered",'HVAC weighting'!$G$23,'HVAC weighting'!$G$24))*IFERROR(VLOOKUP(RIGHT('SC-NR'!$D72,4),'HVAC weighting'!$A$3:$C$8,MATCH('SC-NR'!$C72,'HVAC weighting'!$B$3:$C$3,0)+1,FALSE),1)</f>
        <v>20.62075183015595</v>
      </c>
      <c r="AA72" s="29">
        <f t="shared" ca="1" si="28"/>
        <v>17.83833574737789</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c r="A73" s="58">
        <f t="shared" si="25"/>
        <v>1342.1286397245815</v>
      </c>
      <c r="B73" s="58">
        <f t="shared" si="26"/>
        <v>69.681389746023285</v>
      </c>
      <c r="C73" s="7" t="str">
        <f t="shared" si="27"/>
        <v>Single Family</v>
      </c>
      <c r="D73" s="7" t="s">
        <v>472</v>
      </c>
      <c r="E73" s="29">
        <f ca="1">VLOOKUP($C73,$D$50:$Z$51,E$56+1,FALSE)*$D$65*$A73/8760/1000*88%*IF($C73="Manufactured",IF(RIGHT($D73,4)&lt;&gt;"ered",'HVAC weighting'!$G$17,'HVAC weighting'!$G$18),IF(RIGHT($D73,4)&lt;&gt;"ered",'HVAC weighting'!$G$23,'HVAC weighting'!$G$24))*IFERROR(VLOOKUP(RIGHT('SC-NR'!$D73,4),'HVAC weighting'!$A$3:$C$8,MATCH('SC-NR'!$C73,'HVAC weighting'!$B$3:$C$3,0)+1,FALSE),1)</f>
        <v>1.3551704595706907E-2</v>
      </c>
      <c r="F73" s="29">
        <f ca="1">VLOOKUP($C73,$D$50:$Z$51,F$56+1,FALSE)*$D$65*$A73/8760/1000*88%*IF($C73="Manufactured",IF(RIGHT($D73,4)&lt;&gt;"ered",'HVAC weighting'!$G$17,'HVAC weighting'!$G$18),IF(RIGHT($D73,4)&lt;&gt;"ered",'HVAC weighting'!$G$23,'HVAC weighting'!$G$24))*IFERROR(VLOOKUP(RIGHT('SC-NR'!$D73,4),'HVAC weighting'!$A$3:$C$8,MATCH('SC-NR'!$C73,'HVAC weighting'!$B$3:$C$3,0)+1,FALSE),1)</f>
        <v>3.4774581177045488E-2</v>
      </c>
      <c r="G73" s="29">
        <f ca="1">VLOOKUP($C73,$D$50:$Z$51,G$56+1,FALSE)*$D$65*$A73/8760/1000*88%*IF($C73="Manufactured",IF(RIGHT($D73,4)&lt;&gt;"ered",'HVAC weighting'!$G$17,'HVAC weighting'!$G$18),IF(RIGHT($D73,4)&lt;&gt;"ered",'HVAC weighting'!$G$23,'HVAC weighting'!$G$24))*IFERROR(VLOOKUP(RIGHT('SC-NR'!$D73,4),'HVAC weighting'!$A$3:$C$8,MATCH('SC-NR'!$C73,'HVAC weighting'!$B$3:$C$3,0)+1,FALSE),1)</f>
        <v>7.7106390005879641E-2</v>
      </c>
      <c r="H73" s="29">
        <f ca="1">VLOOKUP($C73,$D$50:$Z$51,H$56+1,FALSE)*$D$65*$A73/8760/1000*88%*IF($C73="Manufactured",IF(RIGHT($D73,4)&lt;&gt;"ered",'HVAC weighting'!$G$17,'HVAC weighting'!$G$18),IF(RIGHT($D73,4)&lt;&gt;"ered",'HVAC weighting'!$G$23,'HVAC weighting'!$G$24))*IFERROR(VLOOKUP(RIGHT('SC-NR'!$D73,4),'HVAC weighting'!$A$3:$C$8,MATCH('SC-NR'!$C73,'HVAC weighting'!$B$3:$C$3,0)+1,FALSE),1)</f>
        <v>0.1509816184896936</v>
      </c>
      <c r="I73" s="29">
        <f ca="1">VLOOKUP($C73,$D$50:$Z$51,I$56+1,FALSE)*$D$65*$A73/8760/1000*88%*IF($C73="Manufactured",IF(RIGHT($D73,4)&lt;&gt;"ered",'HVAC weighting'!$G$17,'HVAC weighting'!$G$18),IF(RIGHT($D73,4)&lt;&gt;"ered",'HVAC weighting'!$G$23,'HVAC weighting'!$G$24))*IFERROR(VLOOKUP(RIGHT('SC-NR'!$D73,4),'HVAC weighting'!$A$3:$C$8,MATCH('SC-NR'!$C73,'HVAC weighting'!$B$3:$C$3,0)+1,FALSE),1)</f>
        <v>0.26556658937559763</v>
      </c>
      <c r="J73" s="29">
        <f ca="1">VLOOKUP($C73,$D$50:$Z$51,J$56+1,FALSE)*$D$65*$A73/8760/1000*88%*IF($C73="Manufactured",IF(RIGHT($D73,4)&lt;&gt;"ered",'HVAC weighting'!$G$17,'HVAC weighting'!$G$18),IF(RIGHT($D73,4)&lt;&gt;"ered",'HVAC weighting'!$G$23,'HVAC weighting'!$G$24))*IFERROR(VLOOKUP(RIGHT('SC-NR'!$D73,4),'HVAC weighting'!$A$3:$C$8,MATCH('SC-NR'!$C73,'HVAC weighting'!$B$3:$C$3,0)+1,FALSE),1)</f>
        <v>0.42549712338753254</v>
      </c>
      <c r="K73" s="29">
        <f ca="1">VLOOKUP($C73,$D$50:$Z$51,K$56+1,FALSE)*$D$65*$A73/8760/1000*88%*IF($C73="Manufactured",IF(RIGHT($D73,4)&lt;&gt;"ered",'HVAC weighting'!$G$17,'HVAC weighting'!$G$18),IF(RIGHT($D73,4)&lt;&gt;"ered",'HVAC weighting'!$G$23,'HVAC weighting'!$G$24))*IFERROR(VLOOKUP(RIGHT('SC-NR'!$D73,4),'HVAC weighting'!$A$3:$C$8,MATCH('SC-NR'!$C73,'HVAC weighting'!$B$3:$C$3,0)+1,FALSE),1)</f>
        <v>0.62838241921706761</v>
      </c>
      <c r="L73" s="29">
        <f ca="1">VLOOKUP($C73,$D$50:$Z$51,L$56+1,FALSE)*$D$65*$A73/8760/1000*88%*IF($C73="Manufactured",IF(RIGHT($D73,4)&lt;&gt;"ered",'HVAC weighting'!$G$17,'HVAC weighting'!$G$18),IF(RIGHT($D73,4)&lt;&gt;"ered",'HVAC weighting'!$G$23,'HVAC weighting'!$G$24))*IFERROR(VLOOKUP(RIGHT('SC-NR'!$D73,4),'HVAC weighting'!$A$3:$C$8,MATCH('SC-NR'!$C73,'HVAC weighting'!$B$3:$C$3,0)+1,FALSE),1)</f>
        <v>0.86424220547914476</v>
      </c>
      <c r="M73" s="29">
        <f ca="1">VLOOKUP($C73,$D$50:$Z$51,M$56+1,FALSE)*$D$65*$A73/8760/1000*88%*IF($C73="Manufactured",IF(RIGHT($D73,4)&lt;&gt;"ered",'HVAC weighting'!$G$17,'HVAC weighting'!$G$18),IF(RIGHT($D73,4)&lt;&gt;"ered",'HVAC weighting'!$G$23,'HVAC weighting'!$G$24))*IFERROR(VLOOKUP(RIGHT('SC-NR'!$D73,4),'HVAC weighting'!$A$3:$C$8,MATCH('SC-NR'!$C73,'HVAC weighting'!$B$3:$C$3,0)+1,FALSE),1)</f>
        <v>1.1172389548502579</v>
      </c>
      <c r="N73" s="29">
        <f ca="1">VLOOKUP($C73,$D$50:$Z$51,N$56+1,FALSE)*$D$65*$A73/8760/1000*88%*IF($C73="Manufactured",IF(RIGHT($D73,4)&lt;&gt;"ered",'HVAC weighting'!$G$17,'HVAC weighting'!$G$18),IF(RIGHT($D73,4)&lt;&gt;"ered",'HVAC weighting'!$G$23,'HVAC weighting'!$G$24))*IFERROR(VLOOKUP(RIGHT('SC-NR'!$D73,4),'HVAC weighting'!$A$3:$C$8,MATCH('SC-NR'!$C73,'HVAC weighting'!$B$3:$C$3,0)+1,FALSE),1)</f>
        <v>1.3690822472258442</v>
      </c>
      <c r="O73" s="29">
        <f ca="1">VLOOKUP($C73,$D$50:$Z$51,O$56+1,FALSE)*$D$65*$A73/8760/1000*88%*IF($C73="Manufactured",IF(RIGHT($D73,4)&lt;&gt;"ered",'HVAC weighting'!$G$17,'HVAC weighting'!$G$18),IF(RIGHT($D73,4)&lt;&gt;"ered",'HVAC weighting'!$G$23,'HVAC weighting'!$G$24))*IFERROR(VLOOKUP(RIGHT('SC-NR'!$D73,4),'HVAC weighting'!$A$3:$C$8,MATCH('SC-NR'!$C73,'HVAC weighting'!$B$3:$C$3,0)+1,FALSE),1)</f>
        <v>1.6028558394931933</v>
      </c>
      <c r="P73" s="29">
        <f ca="1">VLOOKUP($C73,$D$50:$Z$51,P$56+1,FALSE)*$D$65*$A73/8760/1000*88%*IF($C73="Manufactured",IF(RIGHT($D73,4)&lt;&gt;"ered",'HVAC weighting'!$G$17,'HVAC weighting'!$G$18),IF(RIGHT($D73,4)&lt;&gt;"ered",'HVAC weighting'!$G$23,'HVAC weighting'!$G$24))*IFERROR(VLOOKUP(RIGHT('SC-NR'!$D73,4),'HVAC weighting'!$A$3:$C$8,MATCH('SC-NR'!$C73,'HVAC weighting'!$B$3:$C$3,0)+1,FALSE),1)</f>
        <v>1.806017603463687</v>
      </c>
      <c r="Q73" s="29">
        <f ca="1">VLOOKUP($C73,$D$50:$Z$51,Q$56+1,FALSE)*$D$65*$A73/8760/1000*88%*IF($C73="Manufactured",IF(RIGHT($D73,4)&lt;&gt;"ered",'HVAC weighting'!$G$17,'HVAC weighting'!$G$18),IF(RIGHT($D73,4)&lt;&gt;"ered",'HVAC weighting'!$G$23,'HVAC weighting'!$G$24))*IFERROR(VLOOKUP(RIGHT('SC-NR'!$D73,4),'HVAC weighting'!$A$3:$C$8,MATCH('SC-NR'!$C73,'HVAC weighting'!$B$3:$C$3,0)+1,FALSE),1)</f>
        <v>1.9718369190992133</v>
      </c>
      <c r="R73" s="29">
        <f ca="1">VLOOKUP($C73,$D$50:$Z$51,R$56+1,FALSE)*$D$65*$A73/8760/1000*88%*IF($C73="Manufactured",IF(RIGHT($D73,4)&lt;&gt;"ered",'HVAC weighting'!$G$17,'HVAC weighting'!$G$18),IF(RIGHT($D73,4)&lt;&gt;"ered",'HVAC weighting'!$G$23,'HVAC weighting'!$G$24))*IFERROR(VLOOKUP(RIGHT('SC-NR'!$D73,4),'HVAC weighting'!$A$3:$C$8,MATCH('SC-NR'!$C73,'HVAC weighting'!$B$3:$C$3,0)+1,FALSE),1)</f>
        <v>2.5165197983224399</v>
      </c>
      <c r="S73" s="29">
        <f ca="1">VLOOKUP($C73,$D$50:$Z$51,S$56+1,FALSE)*$D$65*$A73/8760/1000*88%*IF($C73="Manufactured",IF(RIGHT($D73,4)&lt;&gt;"ered",'HVAC weighting'!$G$17,'HVAC weighting'!$G$18),IF(RIGHT($D73,4)&lt;&gt;"ered",'HVAC weighting'!$G$23,'HVAC weighting'!$G$24))*IFERROR(VLOOKUP(RIGHT('SC-NR'!$D73,4),'HVAC weighting'!$A$3:$C$8,MATCH('SC-NR'!$C73,'HVAC weighting'!$B$3:$C$3,0)+1,FALSE),1)</f>
        <v>2.6060910322779898</v>
      </c>
      <c r="T73" s="29">
        <f ca="1">VLOOKUP($C73,$D$50:$Z$51,T$56+1,FALSE)*$D$65*$A73/8760/1000*88%*IF($C73="Manufactured",IF(RIGHT($D73,4)&lt;&gt;"ered",'HVAC weighting'!$G$17,'HVAC weighting'!$G$18),IF(RIGHT($D73,4)&lt;&gt;"ered",'HVAC weighting'!$G$23,'HVAC weighting'!$G$24))*IFERROR(VLOOKUP(RIGHT('SC-NR'!$D73,4),'HVAC weighting'!$A$3:$C$8,MATCH('SC-NR'!$C73,'HVAC weighting'!$B$3:$C$3,0)+1,FALSE),1)</f>
        <v>2.6536067264373102</v>
      </c>
      <c r="U73" s="29">
        <f ca="1">VLOOKUP($C73,$D$50:$Z$51,U$56+1,FALSE)*$D$65*$A73/8760/1000*88%*IF($C73="Manufactured",IF(RIGHT($D73,4)&lt;&gt;"ered",'HVAC weighting'!$G$17,'HVAC weighting'!$G$18),IF(RIGHT($D73,4)&lt;&gt;"ered",'HVAC weighting'!$G$23,'HVAC weighting'!$G$24))*IFERROR(VLOOKUP(RIGHT('SC-NR'!$D73,4),'HVAC weighting'!$A$3:$C$8,MATCH('SC-NR'!$C73,'HVAC weighting'!$B$3:$C$3,0)+1,FALSE),1)</f>
        <v>2.6783323783946122</v>
      </c>
      <c r="V73" s="29">
        <f ca="1">VLOOKUP($C73,$D$50:$Z$51,V$56+1,FALSE)*$D$65*$A73/8760/1000*88%*IF($C73="Manufactured",IF(RIGHT($D73,4)&lt;&gt;"ered",'HVAC weighting'!$G$17,'HVAC weighting'!$G$18),IF(RIGHT($D73,4)&lt;&gt;"ered",'HVAC weighting'!$G$23,'HVAC weighting'!$G$24))*IFERROR(VLOOKUP(RIGHT('SC-NR'!$D73,4),'HVAC weighting'!$A$3:$C$8,MATCH('SC-NR'!$C73,'HVAC weighting'!$B$3:$C$3,0)+1,FALSE),1)</f>
        <v>2.6808360718934456</v>
      </c>
      <c r="W73" s="29">
        <f ca="1">VLOOKUP($C73,$D$50:$Z$51,W$56+1,FALSE)*$D$65*$A73/8760/1000*88%*IF($C73="Manufactured",IF(RIGHT($D73,4)&lt;&gt;"ered",'HVAC weighting'!$G$17,'HVAC weighting'!$G$18),IF(RIGHT($D73,4)&lt;&gt;"ered",'HVAC weighting'!$G$23,'HVAC weighting'!$G$24))*IFERROR(VLOOKUP(RIGHT('SC-NR'!$D73,4),'HVAC weighting'!$A$3:$C$8,MATCH('SC-NR'!$C73,'HVAC weighting'!$B$3:$C$3,0)+1,FALSE),1)</f>
        <v>2.6579271701626626</v>
      </c>
      <c r="X73" s="29">
        <f ca="1">VLOOKUP($C73,$D$50:$Z$51,X$56+1,FALSE)*$D$65*$A73/8760/1000*88%*IF($C73="Manufactured",IF(RIGHT($D73,4)&lt;&gt;"ered",'HVAC weighting'!$G$17,'HVAC weighting'!$G$18),IF(RIGHT($D73,4)&lt;&gt;"ered",'HVAC weighting'!$G$23,'HVAC weighting'!$G$24))*IFERROR(VLOOKUP(RIGHT('SC-NR'!$D73,4),'HVAC weighting'!$A$3:$C$8,MATCH('SC-NR'!$C73,'HVAC weighting'!$B$3:$C$3,0)+1,FALSE),1)</f>
        <v>2.629558801104539</v>
      </c>
      <c r="Y73" s="29">
        <f ca="1">(VLOOKUP($C73,$D$37:$Z$38,$X$56+3,FALSE)+VLOOKUP($C73,$D$43:$Z$44,$X$56+3,FALSE))*$A73*$D$65/8760/1000*88%*IF($C73="Manufactured",IF(RIGHT($D73,4)&lt;&gt;"ered",'HVAC weighting'!$G$17,'HVAC weighting'!$G$18),IF(RIGHT($D73,4)&lt;&gt;"ered",'HVAC weighting'!$G$23,'HVAC weighting'!$G$24))*IFERROR(VLOOKUP(RIGHT('SC-NR'!$D73,4),'HVAC weighting'!$A$3:$C$8,MATCH('SC-NR'!$C73,'HVAC weighting'!$B$3:$C$3,0)+1,FALSE),1)</f>
        <v>33.234420006136958</v>
      </c>
      <c r="AA73" s="29">
        <f t="shared" ca="1" si="28"/>
        <v>28.75000617445286</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c r="A74" s="58">
        <f t="shared" si="25"/>
        <v>1009.2424439729974</v>
      </c>
      <c r="B74" s="58">
        <f t="shared" si="26"/>
        <v>71.047447426738415</v>
      </c>
      <c r="C74" s="7" t="str">
        <f t="shared" si="27"/>
        <v>Manufactured</v>
      </c>
      <c r="D74" s="7" t="s">
        <v>483</v>
      </c>
      <c r="E74" s="29">
        <f ca="1">VLOOKUP($C74,$D$50:$Z$51,E$56+1,FALSE)*$D$65*$A74/8760/1000*88%*IF($C74="Manufactured",IF(RIGHT($D74,4)&lt;&gt;"ered",'HVAC weighting'!$G$17,'HVAC weighting'!$G$18),IF(RIGHT($D74,4)&lt;&gt;"ered",'HVAC weighting'!$G$23,'HVAC weighting'!$G$24))*IFERROR(VLOOKUP(RIGHT('SC-NR'!$D74,4),'HVAC weighting'!$A$3:$C$8,MATCH('SC-NR'!$C74,'HVAC weighting'!$B$3:$C$3,0)+1,FALSE),1)</f>
        <v>4.7478469690320152E-3</v>
      </c>
      <c r="F74" s="29">
        <f ca="1">VLOOKUP($C74,$D$50:$Z$51,F$56+1,FALSE)*$D$65*$A74/8760/1000*88%*IF($C74="Manufactured",IF(RIGHT($D74,4)&lt;&gt;"ered",'HVAC weighting'!$G$17,'HVAC weighting'!$G$18),IF(RIGHT($D74,4)&lt;&gt;"ered",'HVAC weighting'!$G$23,'HVAC weighting'!$G$24))*IFERROR(VLOOKUP(RIGHT('SC-NR'!$D74,4),'HVAC weighting'!$A$3:$C$8,MATCH('SC-NR'!$C74,'HVAC weighting'!$B$3:$C$3,0)+1,FALSE),1)</f>
        <v>1.2080522690942121E-2</v>
      </c>
      <c r="G74" s="29">
        <f ca="1">VLOOKUP($C74,$D$50:$Z$51,G$56+1,FALSE)*$D$65*$A74/8760/1000*88%*IF($C74="Manufactured",IF(RIGHT($D74,4)&lt;&gt;"ered",'HVAC weighting'!$G$17,'HVAC weighting'!$G$18),IF(RIGHT($D74,4)&lt;&gt;"ered",'HVAC weighting'!$G$23,'HVAC weighting'!$G$24))*IFERROR(VLOOKUP(RIGHT('SC-NR'!$D74,4),'HVAC weighting'!$A$3:$C$8,MATCH('SC-NR'!$C74,'HVAC weighting'!$B$3:$C$3,0)+1,FALSE),1)</f>
        <v>2.656043717311005E-2</v>
      </c>
      <c r="H74" s="29">
        <f ca="1">VLOOKUP($C74,$D$50:$Z$51,H$56+1,FALSE)*$D$65*$A74/8760/1000*88%*IF($C74="Manufactured",IF(RIGHT($D74,4)&lt;&gt;"ered",'HVAC weighting'!$G$17,'HVAC weighting'!$G$18),IF(RIGHT($D74,4)&lt;&gt;"ered",'HVAC weighting'!$G$23,'HVAC weighting'!$G$24))*IFERROR(VLOOKUP(RIGHT('SC-NR'!$D74,4),'HVAC weighting'!$A$3:$C$8,MATCH('SC-NR'!$C74,'HVAC weighting'!$B$3:$C$3,0)+1,FALSE),1)</f>
        <v>5.1569147976268569E-2</v>
      </c>
      <c r="I74" s="29">
        <f ca="1">VLOOKUP($C74,$D$50:$Z$51,I$56+1,FALSE)*$D$65*$A74/8760/1000*88%*IF($C74="Manufactured",IF(RIGHT($D74,4)&lt;&gt;"ered",'HVAC weighting'!$G$17,'HVAC weighting'!$G$18),IF(RIGHT($D74,4)&lt;&gt;"ered",'HVAC weighting'!$G$23,'HVAC weighting'!$G$24))*IFERROR(VLOOKUP(RIGHT('SC-NR'!$D74,4),'HVAC weighting'!$A$3:$C$8,MATCH('SC-NR'!$C74,'HVAC weighting'!$B$3:$C$3,0)+1,FALSE),1)</f>
        <v>8.9941545631012823E-2</v>
      </c>
      <c r="J74" s="29">
        <f ca="1">VLOOKUP($C74,$D$50:$Z$51,J$56+1,FALSE)*$D$65*$A74/8760/1000*88%*IF($C74="Manufactured",IF(RIGHT($D74,4)&lt;&gt;"ered",'HVAC weighting'!$G$17,'HVAC weighting'!$G$18),IF(RIGHT($D74,4)&lt;&gt;"ered",'HVAC weighting'!$G$23,'HVAC weighting'!$G$24))*IFERROR(VLOOKUP(RIGHT('SC-NR'!$D74,4),'HVAC weighting'!$A$3:$C$8,MATCH('SC-NR'!$C74,'HVAC weighting'!$B$3:$C$3,0)+1,FALSE),1)</f>
        <v>0.14289089943622793</v>
      </c>
      <c r="K74" s="29">
        <f ca="1">VLOOKUP($C74,$D$50:$Z$51,K$56+1,FALSE)*$D$65*$A74/8760/1000*88%*IF($C74="Manufactured",IF(RIGHT($D74,4)&lt;&gt;"ered",'HVAC weighting'!$G$17,'HVAC weighting'!$G$18),IF(RIGHT($D74,4)&lt;&gt;"ered",'HVAC weighting'!$G$23,'HVAC weighting'!$G$24))*IFERROR(VLOOKUP(RIGHT('SC-NR'!$D74,4),'HVAC weighting'!$A$3:$C$8,MATCH('SC-NR'!$C74,'HVAC weighting'!$B$3:$C$3,0)+1,FALSE),1)</f>
        <v>0.20924399276039116</v>
      </c>
      <c r="L74" s="29">
        <f ca="1">VLOOKUP($C74,$D$50:$Z$51,L$56+1,FALSE)*$D$65*$A74/8760/1000*88%*IF($C74="Manufactured",IF(RIGHT($D74,4)&lt;&gt;"ered",'HVAC weighting'!$G$17,'HVAC weighting'!$G$18),IF(RIGHT($D74,4)&lt;&gt;"ered",'HVAC weighting'!$G$23,'HVAC weighting'!$G$24))*IFERROR(VLOOKUP(RIGHT('SC-NR'!$D74,4),'HVAC weighting'!$A$3:$C$8,MATCH('SC-NR'!$C74,'HVAC weighting'!$B$3:$C$3,0)+1,FALSE),1)</f>
        <v>0.28535499238826662</v>
      </c>
      <c r="M74" s="29">
        <f ca="1">VLOOKUP($C74,$D$50:$Z$51,M$56+1,FALSE)*$D$65*$A74/8760/1000*88%*IF($C74="Manufactured",IF(RIGHT($D74,4)&lt;&gt;"ered",'HVAC weighting'!$G$17,'HVAC weighting'!$G$18),IF(RIGHT($D74,4)&lt;&gt;"ered",'HVAC weighting'!$G$23,'HVAC weighting'!$G$24))*IFERROR(VLOOKUP(RIGHT('SC-NR'!$D74,4),'HVAC weighting'!$A$3:$C$8,MATCH('SC-NR'!$C74,'HVAC weighting'!$B$3:$C$3,0)+1,FALSE),1)</f>
        <v>0.36577759884653555</v>
      </c>
      <c r="N74" s="29">
        <f ca="1">VLOOKUP($C74,$D$50:$Z$51,N$56+1,FALSE)*$D$65*$A74/8760/1000*88%*IF($C74="Manufactured",IF(RIGHT($D74,4)&lt;&gt;"ered",'HVAC weighting'!$G$17,'HVAC weighting'!$G$18),IF(RIGHT($D74,4)&lt;&gt;"ered",'HVAC weighting'!$G$23,'HVAC weighting'!$G$24))*IFERROR(VLOOKUP(RIGHT('SC-NR'!$D74,4),'HVAC weighting'!$A$3:$C$8,MATCH('SC-NR'!$C74,'HVAC weighting'!$B$3:$C$3,0)+1,FALSE),1)</f>
        <v>0.44444866381633957</v>
      </c>
      <c r="O74" s="29">
        <f ca="1">VLOOKUP($C74,$D$50:$Z$51,O$56+1,FALSE)*$D$65*$A74/8760/1000*88%*IF($C74="Manufactured",IF(RIGHT($D74,4)&lt;&gt;"ered",'HVAC weighting'!$G$17,'HVAC weighting'!$G$18),IF(RIGHT($D74,4)&lt;&gt;"ered",'HVAC weighting'!$G$23,'HVAC weighting'!$G$24))*IFERROR(VLOOKUP(RIGHT('SC-NR'!$D74,4),'HVAC weighting'!$A$3:$C$8,MATCH('SC-NR'!$C74,'HVAC weighting'!$B$3:$C$3,0)+1,FALSE),1)</f>
        <v>0.515949933327701</v>
      </c>
      <c r="P74" s="29">
        <f ca="1">VLOOKUP($C74,$D$50:$Z$51,P$56+1,FALSE)*$D$65*$A74/8760/1000*88%*IF($C74="Manufactured",IF(RIGHT($D74,4)&lt;&gt;"ered",'HVAC weighting'!$G$17,'HVAC weighting'!$G$18),IF(RIGHT($D74,4)&lt;&gt;"ered",'HVAC weighting'!$G$23,'HVAC weighting'!$G$24))*IFERROR(VLOOKUP(RIGHT('SC-NR'!$D74,4),'HVAC weighting'!$A$3:$C$8,MATCH('SC-NR'!$C74,'HVAC weighting'!$B$3:$C$3,0)+1,FALSE),1)</f>
        <v>0.57644265140441908</v>
      </c>
      <c r="Q74" s="29">
        <f ca="1">VLOOKUP($C74,$D$50:$Z$51,Q$56+1,FALSE)*$D$65*$A74/8760/1000*88%*IF($C74="Manufactured",IF(RIGHT($D74,4)&lt;&gt;"ered",'HVAC weighting'!$G$17,'HVAC weighting'!$G$18),IF(RIGHT($D74,4)&lt;&gt;"ered",'HVAC weighting'!$G$23,'HVAC weighting'!$G$24))*IFERROR(VLOOKUP(RIGHT('SC-NR'!$D74,4),'HVAC weighting'!$A$3:$C$8,MATCH('SC-NR'!$C74,'HVAC weighting'!$B$3:$C$3,0)+1,FALSE),1)</f>
        <v>0.62405972125201514</v>
      </c>
      <c r="R74" s="29">
        <f ca="1">VLOOKUP($C74,$D$50:$Z$51,R$56+1,FALSE)*$D$65*$A74/8760/1000*88%*IF($C74="Manufactured",IF(RIGHT($D74,4)&lt;&gt;"ered",'HVAC weighting'!$G$17,'HVAC weighting'!$G$18),IF(RIGHT($D74,4)&lt;&gt;"ered",'HVAC weighting'!$G$23,'HVAC weighting'!$G$24))*IFERROR(VLOOKUP(RIGHT('SC-NR'!$D74,4),'HVAC weighting'!$A$3:$C$8,MATCH('SC-NR'!$C74,'HVAC weighting'!$B$3:$C$3,0)+1,FALSE),1)</f>
        <v>0.6908136129295076</v>
      </c>
      <c r="S74" s="29">
        <f ca="1">VLOOKUP($C74,$D$50:$Z$51,S$56+1,FALSE)*$D$65*$A74/8760/1000*88%*IF($C74="Manufactured",IF(RIGHT($D74,4)&lt;&gt;"ered",'HVAC weighting'!$G$17,'HVAC weighting'!$G$18),IF(RIGHT($D74,4)&lt;&gt;"ered",'HVAC weighting'!$G$23,'HVAC weighting'!$G$24))*IFERROR(VLOOKUP(RIGHT('SC-NR'!$D74,4),'HVAC weighting'!$A$3:$C$8,MATCH('SC-NR'!$C74,'HVAC weighting'!$B$3:$C$3,0)+1,FALSE),1)</f>
        <v>0.71540219654100623</v>
      </c>
      <c r="T74" s="29">
        <f ca="1">VLOOKUP($C74,$D$50:$Z$51,T$56+1,FALSE)*$D$65*$A74/8760/1000*88%*IF($C74="Manufactured",IF(RIGHT($D74,4)&lt;&gt;"ered",'HVAC weighting'!$G$17,'HVAC weighting'!$G$18),IF(RIGHT($D74,4)&lt;&gt;"ered",'HVAC weighting'!$G$23,'HVAC weighting'!$G$24))*IFERROR(VLOOKUP(RIGHT('SC-NR'!$D74,4),'HVAC weighting'!$A$3:$C$8,MATCH('SC-NR'!$C74,'HVAC weighting'!$B$3:$C$3,0)+1,FALSE),1)</f>
        <v>0.73076976595490195</v>
      </c>
      <c r="U74" s="29">
        <f ca="1">VLOOKUP($C74,$D$50:$Z$51,U$56+1,FALSE)*$D$65*$A74/8760/1000*88%*IF($C74="Manufactured",IF(RIGHT($D74,4)&lt;&gt;"ered",'HVAC weighting'!$G$17,'HVAC weighting'!$G$18),IF(RIGHT($D74,4)&lt;&gt;"ered",'HVAC weighting'!$G$23,'HVAC weighting'!$G$24))*IFERROR(VLOOKUP(RIGHT('SC-NR'!$D74,4),'HVAC weighting'!$A$3:$C$8,MATCH('SC-NR'!$C74,'HVAC weighting'!$B$3:$C$3,0)+1,FALSE),1)</f>
        <v>0.7382100864897011</v>
      </c>
      <c r="V74" s="29">
        <f ca="1">VLOOKUP($C74,$D$50:$Z$51,V$56+1,FALSE)*$D$65*$A74/8760/1000*88%*IF($C74="Manufactured",IF(RIGHT($D74,4)&lt;&gt;"ered",'HVAC weighting'!$G$17,'HVAC weighting'!$G$18),IF(RIGHT($D74,4)&lt;&gt;"ered",'HVAC weighting'!$G$23,'HVAC weighting'!$G$24))*IFERROR(VLOOKUP(RIGHT('SC-NR'!$D74,4),'HVAC weighting'!$A$3:$C$8,MATCH('SC-NR'!$C74,'HVAC weighting'!$B$3:$C$3,0)+1,FALSE),1)</f>
        <v>0.73727700711686273</v>
      </c>
      <c r="W74" s="29">
        <f ca="1">VLOOKUP($C74,$D$50:$Z$51,W$56+1,FALSE)*$D$65*$A74/8760/1000*88%*IF($C74="Manufactured",IF(RIGHT($D74,4)&lt;&gt;"ered",'HVAC weighting'!$G$17,'HVAC weighting'!$G$18),IF(RIGHT($D74,4)&lt;&gt;"ered",'HVAC weighting'!$G$23,'HVAC weighting'!$G$24))*IFERROR(VLOOKUP(RIGHT('SC-NR'!$D74,4),'HVAC weighting'!$A$3:$C$8,MATCH('SC-NR'!$C74,'HVAC weighting'!$B$3:$C$3,0)+1,FALSE),1)</f>
        <v>0.73270503603570902</v>
      </c>
      <c r="X74" s="29">
        <f ca="1">VLOOKUP($C74,$D$50:$Z$51,X$56+1,FALSE)*$D$65*$A74/8760/1000*88%*IF($C74="Manufactured",IF(RIGHT($D74,4)&lt;&gt;"ered",'HVAC weighting'!$G$17,'HVAC weighting'!$G$18),IF(RIGHT($D74,4)&lt;&gt;"ered",'HVAC weighting'!$G$23,'HVAC weighting'!$G$24))*IFERROR(VLOOKUP(RIGHT('SC-NR'!$D74,4),'HVAC weighting'!$A$3:$C$8,MATCH('SC-NR'!$C74,'HVAC weighting'!$B$3:$C$3,0)+1,FALSE),1)</f>
        <v>0.72591812593164884</v>
      </c>
      <c r="Y74" s="29">
        <f ca="1">(VLOOKUP($C74,$D$37:$Z$38,$X$56+3,FALSE)+VLOOKUP($C74,$D$43:$Z$44,$X$56+3,FALSE))*$A74*$D$65/8760/1000*88%*IF($C74="Manufactured",IF(RIGHT($D74,4)&lt;&gt;"ered",'HVAC weighting'!$G$17,'HVAC weighting'!$G$18),IF(RIGHT($D74,4)&lt;&gt;"ered",'HVAC weighting'!$G$23,'HVAC weighting'!$G$24))*IFERROR(VLOOKUP(RIGHT('SC-NR'!$D74,4),'HVAC weighting'!$A$3:$C$8,MATCH('SC-NR'!$C74,'HVAC weighting'!$B$3:$C$3,0)+1,FALSE),1)</f>
        <v>9.3409526934426754</v>
      </c>
      <c r="AA74" s="29">
        <f t="shared" ca="1" si="28"/>
        <v>8.4201637846715993</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A75" s="58">
        <f t="shared" si="25"/>
        <v>1038.3745091059893</v>
      </c>
      <c r="B75" s="58">
        <f t="shared" si="26"/>
        <v>80.520363180245837</v>
      </c>
      <c r="C75" s="7" t="str">
        <f t="shared" si="27"/>
        <v>Manufactured</v>
      </c>
      <c r="D75" s="7" t="s">
        <v>488</v>
      </c>
      <c r="E75" s="29">
        <f ca="1">VLOOKUP($C75,$D$50:$Z$51,E$56+1,FALSE)*$D$65*$A75/8760/1000*88%*IF($C75="Manufactured",IF(RIGHT($D75,4)&lt;&gt;"ered",'HVAC weighting'!$G$17,'HVAC weighting'!$G$18),IF(RIGHT($D75,4)&lt;&gt;"ered",'HVAC weighting'!$G$23,'HVAC weighting'!$G$24))*IFERROR(VLOOKUP(RIGHT('SC-NR'!$D75,4),'HVAC weighting'!$A$3:$C$8,MATCH('SC-NR'!$C75,'HVAC weighting'!$B$3:$C$3,0)+1,FALSE),1)</f>
        <v>5.6299331385540111E-4</v>
      </c>
      <c r="F75" s="29">
        <f ca="1">VLOOKUP($C75,$D$50:$Z$51,F$56+1,FALSE)*$D$65*$A75/8760/1000*88%*IF($C75="Manufactured",IF(RIGHT($D75,4)&lt;&gt;"ered",'HVAC weighting'!$G$17,'HVAC weighting'!$G$18),IF(RIGHT($D75,4)&lt;&gt;"ered",'HVAC weighting'!$G$23,'HVAC weighting'!$G$24))*IFERROR(VLOOKUP(RIGHT('SC-NR'!$D75,4),'HVAC weighting'!$A$3:$C$8,MATCH('SC-NR'!$C75,'HVAC weighting'!$B$3:$C$3,0)+1,FALSE),1)</f>
        <v>1.4324921479652291E-3</v>
      </c>
      <c r="G75" s="29">
        <f ca="1">VLOOKUP($C75,$D$50:$Z$51,G$56+1,FALSE)*$D$65*$A75/8760/1000*88%*IF($C75="Manufactured",IF(RIGHT($D75,4)&lt;&gt;"ered",'HVAC weighting'!$G$17,'HVAC weighting'!$G$18),IF(RIGHT($D75,4)&lt;&gt;"ered",'HVAC weighting'!$G$23,'HVAC weighting'!$G$24))*IFERROR(VLOOKUP(RIGHT('SC-NR'!$D75,4),'HVAC weighting'!$A$3:$C$8,MATCH('SC-NR'!$C75,'HVAC weighting'!$B$3:$C$3,0)+1,FALSE),1)</f>
        <v>3.149500950445772E-3</v>
      </c>
      <c r="H75" s="29">
        <f ca="1">VLOOKUP($C75,$D$50:$Z$51,H$56+1,FALSE)*$D$65*$A75/8760/1000*88%*IF($C75="Manufactured",IF(RIGHT($D75,4)&lt;&gt;"ered",'HVAC weighting'!$G$17,'HVAC weighting'!$G$18),IF(RIGHT($D75,4)&lt;&gt;"ered",'HVAC weighting'!$G$23,'HVAC weighting'!$G$24))*IFERROR(VLOOKUP(RIGHT('SC-NR'!$D75,4),'HVAC weighting'!$A$3:$C$8,MATCH('SC-NR'!$C75,'HVAC weighting'!$B$3:$C$3,0)+1,FALSE),1)</f>
        <v>6.1150002730139021E-3</v>
      </c>
      <c r="I75" s="29">
        <f ca="1">VLOOKUP($C75,$D$50:$Z$51,I$56+1,FALSE)*$D$65*$A75/8760/1000*88%*IF($C75="Manufactured",IF(RIGHT($D75,4)&lt;&gt;"ered",'HVAC weighting'!$G$17,'HVAC weighting'!$G$18),IF(RIGHT($D75,4)&lt;&gt;"ered",'HVAC weighting'!$G$23,'HVAC weighting'!$G$24))*IFERROR(VLOOKUP(RIGHT('SC-NR'!$D75,4),'HVAC weighting'!$A$3:$C$8,MATCH('SC-NR'!$C75,'HVAC weighting'!$B$3:$C$3,0)+1,FALSE),1)</f>
        <v>1.0665147625515065E-2</v>
      </c>
      <c r="J75" s="29">
        <f ca="1">VLOOKUP($C75,$D$50:$Z$51,J$56+1,FALSE)*$D$65*$A75/8760/1000*88%*IF($C75="Manufactured",IF(RIGHT($D75,4)&lt;&gt;"ered",'HVAC weighting'!$G$17,'HVAC weighting'!$G$18),IF(RIGHT($D75,4)&lt;&gt;"ered",'HVAC weighting'!$G$23,'HVAC weighting'!$G$24))*IFERROR(VLOOKUP(RIGHT('SC-NR'!$D75,4),'HVAC weighting'!$A$3:$C$8,MATCH('SC-NR'!$C75,'HVAC weighting'!$B$3:$C$3,0)+1,FALSE),1)</f>
        <v>1.6943810851128213E-2</v>
      </c>
      <c r="K75" s="29">
        <f ca="1">VLOOKUP($C75,$D$50:$Z$51,K$56+1,FALSE)*$D$65*$A75/8760/1000*88%*IF($C75="Manufactured",IF(RIGHT($D75,4)&lt;&gt;"ered",'HVAC weighting'!$G$17,'HVAC weighting'!$G$18),IF(RIGHT($D75,4)&lt;&gt;"ered",'HVAC weighting'!$G$23,'HVAC weighting'!$G$24))*IFERROR(VLOOKUP(RIGHT('SC-NR'!$D75,4),'HVAC weighting'!$A$3:$C$8,MATCH('SC-NR'!$C75,'HVAC weighting'!$B$3:$C$3,0)+1,FALSE),1)</f>
        <v>2.481187149815103E-2</v>
      </c>
      <c r="L75" s="29">
        <f ca="1">VLOOKUP($C75,$D$50:$Z$51,L$56+1,FALSE)*$D$65*$A75/8760/1000*88%*IF($C75="Manufactured",IF(RIGHT($D75,4)&lt;&gt;"ered",'HVAC weighting'!$G$17,'HVAC weighting'!$G$18),IF(RIGHT($D75,4)&lt;&gt;"ered",'HVAC weighting'!$G$23,'HVAC weighting'!$G$24))*IFERROR(VLOOKUP(RIGHT('SC-NR'!$D75,4),'HVAC weighting'!$A$3:$C$8,MATCH('SC-NR'!$C75,'HVAC weighting'!$B$3:$C$3,0)+1,FALSE),1)</f>
        <v>3.3837011562865664E-2</v>
      </c>
      <c r="M75" s="29">
        <f ca="1">VLOOKUP($C75,$D$50:$Z$51,M$56+1,FALSE)*$D$65*$A75/8760/1000*88%*IF($C75="Manufactured",IF(RIGHT($D75,4)&lt;&gt;"ered",'HVAC weighting'!$G$17,'HVAC weighting'!$G$18),IF(RIGHT($D75,4)&lt;&gt;"ered",'HVAC weighting'!$G$23,'HVAC weighting'!$G$24))*IFERROR(VLOOKUP(RIGHT('SC-NR'!$D75,4),'HVAC weighting'!$A$3:$C$8,MATCH('SC-NR'!$C75,'HVAC weighting'!$B$3:$C$3,0)+1,FALSE),1)</f>
        <v>4.3373416171976466E-2</v>
      </c>
      <c r="N75" s="29">
        <f ca="1">VLOOKUP($C75,$D$50:$Z$51,N$56+1,FALSE)*$D$65*$A75/8760/1000*88%*IF($C75="Manufactured",IF(RIGHT($D75,4)&lt;&gt;"ered",'HVAC weighting'!$G$17,'HVAC weighting'!$G$18),IF(RIGHT($D75,4)&lt;&gt;"ered",'HVAC weighting'!$G$23,'HVAC weighting'!$G$24))*IFERROR(VLOOKUP(RIGHT('SC-NR'!$D75,4),'HVAC weighting'!$A$3:$C$8,MATCH('SC-NR'!$C75,'HVAC weighting'!$B$3:$C$3,0)+1,FALSE),1)</f>
        <v>5.2702125344949988E-2</v>
      </c>
      <c r="O75" s="29">
        <f ca="1">VLOOKUP($C75,$D$50:$Z$51,O$56+1,FALSE)*$D$65*$A75/8760/1000*88%*IF($C75="Manufactured",IF(RIGHT($D75,4)&lt;&gt;"ered",'HVAC weighting'!$G$17,'HVAC weighting'!$G$18),IF(RIGHT($D75,4)&lt;&gt;"ered",'HVAC weighting'!$G$23,'HVAC weighting'!$G$24))*IFERROR(VLOOKUP(RIGHT('SC-NR'!$D75,4),'HVAC weighting'!$A$3:$C$8,MATCH('SC-NR'!$C75,'HVAC weighting'!$B$3:$C$3,0)+1,FALSE),1)</f>
        <v>6.1180649806591741E-2</v>
      </c>
      <c r="P75" s="29">
        <f ca="1">VLOOKUP($C75,$D$50:$Z$51,P$56+1,FALSE)*$D$65*$A75/8760/1000*88%*IF($C75="Manufactured",IF(RIGHT($D75,4)&lt;&gt;"ered",'HVAC weighting'!$G$17,'HVAC weighting'!$G$18),IF(RIGHT($D75,4)&lt;&gt;"ered",'HVAC weighting'!$G$23,'HVAC weighting'!$G$24))*IFERROR(VLOOKUP(RIGHT('SC-NR'!$D75,4),'HVAC weighting'!$A$3:$C$8,MATCH('SC-NR'!$C75,'HVAC weighting'!$B$3:$C$3,0)+1,FALSE),1)</f>
        <v>6.8353795031420972E-2</v>
      </c>
      <c r="Q75" s="29">
        <f ca="1">VLOOKUP($C75,$D$50:$Z$51,Q$56+1,FALSE)*$D$65*$A75/8760/1000*88%*IF($C75="Manufactured",IF(RIGHT($D75,4)&lt;&gt;"ered",'HVAC weighting'!$G$17,'HVAC weighting'!$G$18),IF(RIGHT($D75,4)&lt;&gt;"ered",'HVAC weighting'!$G$23,'HVAC weighting'!$G$24))*IFERROR(VLOOKUP(RIGHT('SC-NR'!$D75,4),'HVAC weighting'!$A$3:$C$8,MATCH('SC-NR'!$C75,'HVAC weighting'!$B$3:$C$3,0)+1,FALSE),1)</f>
        <v>7.4000163190386284E-2</v>
      </c>
      <c r="R75" s="29">
        <f ca="1">VLOOKUP($C75,$D$50:$Z$51,R$56+1,FALSE)*$D$65*$A75/8760/1000*88%*IF($C75="Manufactured",IF(RIGHT($D75,4)&lt;&gt;"ered",'HVAC weighting'!$G$17,'HVAC weighting'!$G$18),IF(RIGHT($D75,4)&lt;&gt;"ered",'HVAC weighting'!$G$23,'HVAC weighting'!$G$24))*IFERROR(VLOOKUP(RIGHT('SC-NR'!$D75,4),'HVAC weighting'!$A$3:$C$8,MATCH('SC-NR'!$C75,'HVAC weighting'!$B$3:$C$3,0)+1,FALSE),1)</f>
        <v>8.1915749967589865E-2</v>
      </c>
      <c r="S75" s="29">
        <f ca="1">VLOOKUP($C75,$D$50:$Z$51,S$56+1,FALSE)*$D$65*$A75/8760/1000*88%*IF($C75="Manufactured",IF(RIGHT($D75,4)&lt;&gt;"ered",'HVAC weighting'!$G$17,'HVAC weighting'!$G$18),IF(RIGHT($D75,4)&lt;&gt;"ered",'HVAC weighting'!$G$23,'HVAC weighting'!$G$24))*IFERROR(VLOOKUP(RIGHT('SC-NR'!$D75,4),'HVAC weighting'!$A$3:$C$8,MATCH('SC-NR'!$C75,'HVAC weighting'!$B$3:$C$3,0)+1,FALSE),1)</f>
        <v>8.4831431172300339E-2</v>
      </c>
      <c r="T75" s="29">
        <f ca="1">VLOOKUP($C75,$D$50:$Z$51,T$56+1,FALSE)*$D$65*$A75/8760/1000*88%*IF($C75="Manufactured",IF(RIGHT($D75,4)&lt;&gt;"ered",'HVAC weighting'!$G$17,'HVAC weighting'!$G$18),IF(RIGHT($D75,4)&lt;&gt;"ered",'HVAC weighting'!$G$23,'HVAC weighting'!$G$24))*IFERROR(VLOOKUP(RIGHT('SC-NR'!$D75,4),'HVAC weighting'!$A$3:$C$8,MATCH('SC-NR'!$C75,'HVAC weighting'!$B$3:$C$3,0)+1,FALSE),1)</f>
        <v>8.6653696903833802E-2</v>
      </c>
      <c r="U75" s="29">
        <f ca="1">VLOOKUP($C75,$D$50:$Z$51,U$56+1,FALSE)*$D$65*$A75/8760/1000*88%*IF($C75="Manufactured",IF(RIGHT($D75,4)&lt;&gt;"ered",'HVAC weighting'!$G$17,'HVAC weighting'!$G$18),IF(RIGHT($D75,4)&lt;&gt;"ered",'HVAC weighting'!$G$23,'HVAC weighting'!$G$24))*IFERROR(VLOOKUP(RIGHT('SC-NR'!$D75,4),'HVAC weighting'!$A$3:$C$8,MATCH('SC-NR'!$C75,'HVAC weighting'!$B$3:$C$3,0)+1,FALSE),1)</f>
        <v>8.7535960115212516E-2</v>
      </c>
      <c r="V75" s="29">
        <f ca="1">VLOOKUP($C75,$D$50:$Z$51,V$56+1,FALSE)*$D$65*$A75/8760/1000*88%*IF($C75="Manufactured",IF(RIGHT($D75,4)&lt;&gt;"ered",'HVAC weighting'!$G$17,'HVAC weighting'!$G$18),IF(RIGHT($D75,4)&lt;&gt;"ered",'HVAC weighting'!$G$23,'HVAC weighting'!$G$24))*IFERROR(VLOOKUP(RIGHT('SC-NR'!$D75,4),'HVAC weighting'!$A$3:$C$8,MATCH('SC-NR'!$C75,'HVAC weighting'!$B$3:$C$3,0)+1,FALSE),1)</f>
        <v>8.7425316816970008E-2</v>
      </c>
      <c r="W75" s="29">
        <f ca="1">VLOOKUP($C75,$D$50:$Z$51,W$56+1,FALSE)*$D$65*$A75/8760/1000*88%*IF($C75="Manufactured",IF(RIGHT($D75,4)&lt;&gt;"ered",'HVAC weighting'!$G$17,'HVAC weighting'!$G$18),IF(RIGHT($D75,4)&lt;&gt;"ered",'HVAC weighting'!$G$23,'HVAC weighting'!$G$24))*IFERROR(VLOOKUP(RIGHT('SC-NR'!$D75,4),'HVAC weighting'!$A$3:$C$8,MATCH('SC-NR'!$C75,'HVAC weighting'!$B$3:$C$3,0)+1,FALSE),1)</f>
        <v>8.6883178629572927E-2</v>
      </c>
      <c r="X75" s="29">
        <f ca="1">VLOOKUP($C75,$D$50:$Z$51,X$56+1,FALSE)*$D$65*$A75/8760/1000*88%*IF($C75="Manufactured",IF(RIGHT($D75,4)&lt;&gt;"ered",'HVAC weighting'!$G$17,'HVAC weighting'!$G$18),IF(RIGHT($D75,4)&lt;&gt;"ered",'HVAC weighting'!$G$23,'HVAC weighting'!$G$24))*IFERROR(VLOOKUP(RIGHT('SC-NR'!$D75,4),'HVAC weighting'!$A$3:$C$8,MATCH('SC-NR'!$C75,'HVAC weighting'!$B$3:$C$3,0)+1,FALSE),1)</f>
        <v>8.6078395949076694E-2</v>
      </c>
      <c r="Y75" s="29">
        <f ca="1">(VLOOKUP($C75,$D$37:$Z$38,$X$56+3,FALSE)+VLOOKUP($C75,$D$43:$Z$44,$X$56+3,FALSE))*$A75*$D$65/8760/1000*88%*IF($C75="Manufactured",IF(RIGHT($D75,4)&lt;&gt;"ered",'HVAC weighting'!$G$17,'HVAC weighting'!$G$18),IF(RIGHT($D75,4)&lt;&gt;"ered",'HVAC weighting'!$G$23,'HVAC weighting'!$G$24))*IFERROR(VLOOKUP(RIGHT('SC-NR'!$D75,4),'HVAC weighting'!$A$3:$C$8,MATCH('SC-NR'!$C75,'HVAC weighting'!$B$3:$C$3,0)+1,FALSE),1)</f>
        <v>1.1076376188510562</v>
      </c>
      <c r="AA75" s="29">
        <f t="shared" ca="1" si="28"/>
        <v>0.99845170732282196</v>
      </c>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c r="A76" s="58">
        <f t="shared" si="25"/>
        <v>1026.0267452906901</v>
      </c>
      <c r="B76" s="58">
        <f t="shared" si="26"/>
        <v>81.814022161149751</v>
      </c>
      <c r="C76" s="7" t="str">
        <f t="shared" si="27"/>
        <v>Single Family</v>
      </c>
      <c r="D76" s="7" t="s">
        <v>476</v>
      </c>
      <c r="E76" s="29">
        <f ca="1">VLOOKUP($C76,$D$50:$Z$51,E$56+1,FALSE)*$D$65*$A76/8760/1000*88%*IF($C76="Manufactured",IF(RIGHT($D76,4)&lt;&gt;"ered",'HVAC weighting'!$G$17,'HVAC weighting'!$G$18),IF(RIGHT($D76,4)&lt;&gt;"ered",'HVAC weighting'!$G$23,'HVAC weighting'!$G$24))*IFERROR(VLOOKUP(RIGHT('SC-NR'!$D76,4),'HVAC weighting'!$A$3:$C$8,MATCH('SC-NR'!$C76,'HVAC weighting'!$B$3:$C$3,0)+1,FALSE),1)</f>
        <v>4.3433835227725355E-3</v>
      </c>
      <c r="F76" s="29">
        <f ca="1">VLOOKUP($C76,$D$50:$Z$51,F$56+1,FALSE)*$D$65*$A76/8760/1000*88%*IF($C76="Manufactured",IF(RIGHT($D76,4)&lt;&gt;"ered",'HVAC weighting'!$G$17,'HVAC weighting'!$G$18),IF(RIGHT($D76,4)&lt;&gt;"ered",'HVAC weighting'!$G$23,'HVAC weighting'!$G$24))*IFERROR(VLOOKUP(RIGHT('SC-NR'!$D76,4),'HVAC weighting'!$A$3:$C$8,MATCH('SC-NR'!$C76,'HVAC weighting'!$B$3:$C$3,0)+1,FALSE),1)</f>
        <v>1.1145412876218072E-2</v>
      </c>
      <c r="G76" s="29">
        <f ca="1">VLOOKUP($C76,$D$50:$Z$51,G$56+1,FALSE)*$D$65*$A76/8760/1000*88%*IF($C76="Manufactured",IF(RIGHT($D76,4)&lt;&gt;"ered",'HVAC weighting'!$G$17,'HVAC weighting'!$G$18),IF(RIGHT($D76,4)&lt;&gt;"ered",'HVAC weighting'!$G$23,'HVAC weighting'!$G$24))*IFERROR(VLOOKUP(RIGHT('SC-NR'!$D76,4),'HVAC weighting'!$A$3:$C$8,MATCH('SC-NR'!$C76,'HVAC weighting'!$B$3:$C$3,0)+1,FALSE),1)</f>
        <v>2.4712951901128783E-2</v>
      </c>
      <c r="H76" s="29">
        <f ca="1">VLOOKUP($C76,$D$50:$Z$51,H$56+1,FALSE)*$D$65*$A76/8760/1000*88%*IF($C76="Manufactured",IF(RIGHT($D76,4)&lt;&gt;"ered",'HVAC weighting'!$G$17,'HVAC weighting'!$G$18),IF(RIGHT($D76,4)&lt;&gt;"ered",'HVAC weighting'!$G$23,'HVAC weighting'!$G$24))*IFERROR(VLOOKUP(RIGHT('SC-NR'!$D76,4),'HVAC weighting'!$A$3:$C$8,MATCH('SC-NR'!$C76,'HVAC weighting'!$B$3:$C$3,0)+1,FALSE),1)</f>
        <v>4.8390301703994394E-2</v>
      </c>
      <c r="I76" s="29">
        <f ca="1">VLOOKUP($C76,$D$50:$Z$51,I$56+1,FALSE)*$D$65*$A76/8760/1000*88%*IF($C76="Manufactured",IF(RIGHT($D76,4)&lt;&gt;"ered",'HVAC weighting'!$G$17,'HVAC weighting'!$G$18),IF(RIGHT($D76,4)&lt;&gt;"ered",'HVAC weighting'!$G$23,'HVAC weighting'!$G$24))*IFERROR(VLOOKUP(RIGHT('SC-NR'!$D76,4),'HVAC weighting'!$A$3:$C$8,MATCH('SC-NR'!$C76,'HVAC weighting'!$B$3:$C$3,0)+1,FALSE),1)</f>
        <v>8.5115310797010665E-2</v>
      </c>
      <c r="J76" s="29">
        <f ca="1">VLOOKUP($C76,$D$50:$Z$51,J$56+1,FALSE)*$D$65*$A76/8760/1000*88%*IF($C76="Manufactured",IF(RIGHT($D76,4)&lt;&gt;"ered",'HVAC weighting'!$G$17,'HVAC weighting'!$G$18),IF(RIGHT($D76,4)&lt;&gt;"ered",'HVAC weighting'!$G$23,'HVAC weighting'!$G$24))*IFERROR(VLOOKUP(RIGHT('SC-NR'!$D76,4),'HVAC weighting'!$A$3:$C$8,MATCH('SC-NR'!$C76,'HVAC weighting'!$B$3:$C$3,0)+1,FALSE),1)</f>
        <v>0.13637378099977088</v>
      </c>
      <c r="K76" s="29">
        <f ca="1">VLOOKUP($C76,$D$50:$Z$51,K$56+1,FALSE)*$D$65*$A76/8760/1000*88%*IF($C76="Manufactured",IF(RIGHT($D76,4)&lt;&gt;"ered",'HVAC weighting'!$G$17,'HVAC weighting'!$G$18),IF(RIGHT($D76,4)&lt;&gt;"ered",'HVAC weighting'!$G$23,'HVAC weighting'!$G$24))*IFERROR(VLOOKUP(RIGHT('SC-NR'!$D76,4),'HVAC weighting'!$A$3:$C$8,MATCH('SC-NR'!$C76,'HVAC weighting'!$B$3:$C$3,0)+1,FALSE),1)</f>
        <v>0.20139944951958172</v>
      </c>
      <c r="L76" s="29">
        <f ca="1">VLOOKUP($C76,$D$50:$Z$51,L$56+1,FALSE)*$D$65*$A76/8760/1000*88%*IF($C76="Manufactured",IF(RIGHT($D76,4)&lt;&gt;"ered",'HVAC weighting'!$G$17,'HVAC weighting'!$G$18),IF(RIGHT($D76,4)&lt;&gt;"ered",'HVAC weighting'!$G$23,'HVAC weighting'!$G$24))*IFERROR(VLOOKUP(RIGHT('SC-NR'!$D76,4),'HVAC weighting'!$A$3:$C$8,MATCH('SC-NR'!$C76,'HVAC weighting'!$B$3:$C$3,0)+1,FALSE),1)</f>
        <v>0.27699359356990966</v>
      </c>
      <c r="M76" s="29">
        <f ca="1">VLOOKUP($C76,$D$50:$Z$51,M$56+1,FALSE)*$D$65*$A76/8760/1000*88%*IF($C76="Manufactured",IF(RIGHT($D76,4)&lt;&gt;"ered",'HVAC weighting'!$G$17,'HVAC weighting'!$G$18),IF(RIGHT($D76,4)&lt;&gt;"ered",'HVAC weighting'!$G$23,'HVAC weighting'!$G$24))*IFERROR(VLOOKUP(RIGHT('SC-NR'!$D76,4),'HVAC weighting'!$A$3:$C$8,MATCH('SC-NR'!$C76,'HVAC weighting'!$B$3:$C$3,0)+1,FALSE),1)</f>
        <v>0.35808021295221365</v>
      </c>
      <c r="N76" s="29">
        <f ca="1">VLOOKUP($C76,$D$50:$Z$51,N$56+1,FALSE)*$D$65*$A76/8760/1000*88%*IF($C76="Manufactured",IF(RIGHT($D76,4)&lt;&gt;"ered",'HVAC weighting'!$G$17,'HVAC weighting'!$G$18),IF(RIGHT($D76,4)&lt;&gt;"ered",'HVAC weighting'!$G$23,'HVAC weighting'!$G$24))*IFERROR(VLOOKUP(RIGHT('SC-NR'!$D76,4),'HVAC weighting'!$A$3:$C$8,MATCH('SC-NR'!$C76,'HVAC weighting'!$B$3:$C$3,0)+1,FALSE),1)</f>
        <v>0.43879714407329451</v>
      </c>
      <c r="O76" s="29">
        <f ca="1">VLOOKUP($C76,$D$50:$Z$51,O$56+1,FALSE)*$D$65*$A76/8760/1000*88%*IF($C76="Manufactured",IF(RIGHT($D76,4)&lt;&gt;"ered",'HVAC weighting'!$G$17,'HVAC weighting'!$G$18),IF(RIGHT($D76,4)&lt;&gt;"ered",'HVAC weighting'!$G$23,'HVAC weighting'!$G$24))*IFERROR(VLOOKUP(RIGHT('SC-NR'!$D76,4),'HVAC weighting'!$A$3:$C$8,MATCH('SC-NR'!$C76,'HVAC weighting'!$B$3:$C$3,0)+1,FALSE),1)</f>
        <v>0.51372265337306267</v>
      </c>
      <c r="P76" s="29">
        <f ca="1">VLOOKUP($C76,$D$50:$Z$51,P$56+1,FALSE)*$D$65*$A76/8760/1000*88%*IF($C76="Manufactured",IF(RIGHT($D76,4)&lt;&gt;"ered",'HVAC weighting'!$G$17,'HVAC weighting'!$G$18),IF(RIGHT($D76,4)&lt;&gt;"ered",'HVAC weighting'!$G$23,'HVAC weighting'!$G$24))*IFERROR(VLOOKUP(RIGHT('SC-NR'!$D76,4),'HVAC weighting'!$A$3:$C$8,MATCH('SC-NR'!$C76,'HVAC weighting'!$B$3:$C$3,0)+1,FALSE),1)</f>
        <v>0.578836931200989</v>
      </c>
      <c r="Q76" s="29">
        <f ca="1">VLOOKUP($C76,$D$50:$Z$51,Q$56+1,FALSE)*$D$65*$A76/8760/1000*88%*IF($C76="Manufactured",IF(RIGHT($D76,4)&lt;&gt;"ered",'HVAC weighting'!$G$17,'HVAC weighting'!$G$18),IF(RIGHT($D76,4)&lt;&gt;"ered",'HVAC weighting'!$G$23,'HVAC weighting'!$G$24))*IFERROR(VLOOKUP(RIGHT('SC-NR'!$D76,4),'HVAC weighting'!$A$3:$C$8,MATCH('SC-NR'!$C76,'HVAC weighting'!$B$3:$C$3,0)+1,FALSE),1)</f>
        <v>0.63198278294254195</v>
      </c>
      <c r="R76" s="29">
        <f ca="1">VLOOKUP($C76,$D$50:$Z$51,R$56+1,FALSE)*$D$65*$A76/8760/1000*88%*IF($C76="Manufactured",IF(RIGHT($D76,4)&lt;&gt;"ered",'HVAC weighting'!$G$17,'HVAC weighting'!$G$18),IF(RIGHT($D76,4)&lt;&gt;"ered",'HVAC weighting'!$G$23,'HVAC weighting'!$G$24))*IFERROR(VLOOKUP(RIGHT('SC-NR'!$D76,4),'HVAC weighting'!$A$3:$C$8,MATCH('SC-NR'!$C76,'HVAC weighting'!$B$3:$C$3,0)+1,FALSE),1)</f>
        <v>0.80655614572849932</v>
      </c>
      <c r="S76" s="29">
        <f ca="1">VLOOKUP($C76,$D$50:$Z$51,S$56+1,FALSE)*$D$65*$A76/8760/1000*88%*IF($C76="Manufactured",IF(RIGHT($D76,4)&lt;&gt;"ered",'HVAC weighting'!$G$17,'HVAC weighting'!$G$18),IF(RIGHT($D76,4)&lt;&gt;"ered",'HVAC weighting'!$G$23,'HVAC weighting'!$G$24))*IFERROR(VLOOKUP(RIGHT('SC-NR'!$D76,4),'HVAC weighting'!$A$3:$C$8,MATCH('SC-NR'!$C76,'HVAC weighting'!$B$3:$C$3,0)+1,FALSE),1)</f>
        <v>0.83526413732685412</v>
      </c>
      <c r="T76" s="29">
        <f ca="1">VLOOKUP($C76,$D$50:$Z$51,T$56+1,FALSE)*$D$65*$A76/8760/1000*88%*IF($C76="Manufactured",IF(RIGHT($D76,4)&lt;&gt;"ered",'HVAC weighting'!$G$17,'HVAC weighting'!$G$18),IF(RIGHT($D76,4)&lt;&gt;"ered",'HVAC weighting'!$G$23,'HVAC weighting'!$G$24))*IFERROR(VLOOKUP(RIGHT('SC-NR'!$D76,4),'HVAC weighting'!$A$3:$C$8,MATCH('SC-NR'!$C76,'HVAC weighting'!$B$3:$C$3,0)+1,FALSE),1)</f>
        <v>0.8504931353932722</v>
      </c>
      <c r="U76" s="29">
        <f ca="1">VLOOKUP($C76,$D$50:$Z$51,U$56+1,FALSE)*$D$65*$A76/8760/1000*88%*IF($C76="Manufactured",IF(RIGHT($D76,4)&lt;&gt;"ered",'HVAC weighting'!$G$17,'HVAC weighting'!$G$18),IF(RIGHT($D76,4)&lt;&gt;"ered",'HVAC weighting'!$G$23,'HVAC weighting'!$G$24))*IFERROR(VLOOKUP(RIGHT('SC-NR'!$D76,4),'HVAC weighting'!$A$3:$C$8,MATCH('SC-NR'!$C76,'HVAC weighting'!$B$3:$C$3,0)+1,FALSE),1)</f>
        <v>0.85841782033181313</v>
      </c>
      <c r="V76" s="29">
        <f ca="1">VLOOKUP($C76,$D$50:$Z$51,V$56+1,FALSE)*$D$65*$A76/8760/1000*88%*IF($C76="Manufactured",IF(RIGHT($D76,4)&lt;&gt;"ered",'HVAC weighting'!$G$17,'HVAC weighting'!$G$18),IF(RIGHT($D76,4)&lt;&gt;"ered",'HVAC weighting'!$G$23,'HVAC weighting'!$G$24))*IFERROR(VLOOKUP(RIGHT('SC-NR'!$D76,4),'HVAC weighting'!$A$3:$C$8,MATCH('SC-NR'!$C76,'HVAC weighting'!$B$3:$C$3,0)+1,FALSE),1)</f>
        <v>0.85922026558968523</v>
      </c>
      <c r="W76" s="29">
        <f ca="1">VLOOKUP($C76,$D$50:$Z$51,W$56+1,FALSE)*$D$65*$A76/8760/1000*88%*IF($C76="Manufactured",IF(RIGHT($D76,4)&lt;&gt;"ered",'HVAC weighting'!$G$17,'HVAC weighting'!$G$18),IF(RIGHT($D76,4)&lt;&gt;"ered",'HVAC weighting'!$G$23,'HVAC weighting'!$G$24))*IFERROR(VLOOKUP(RIGHT('SC-NR'!$D76,4),'HVAC weighting'!$A$3:$C$8,MATCH('SC-NR'!$C76,'HVAC weighting'!$B$3:$C$3,0)+1,FALSE),1)</f>
        <v>0.85187785743729527</v>
      </c>
      <c r="X76" s="29">
        <f ca="1">VLOOKUP($C76,$D$50:$Z$51,X$56+1,FALSE)*$D$65*$A76/8760/1000*88%*IF($C76="Manufactured",IF(RIGHT($D76,4)&lt;&gt;"ered",'HVAC weighting'!$G$17,'HVAC weighting'!$G$18),IF(RIGHT($D76,4)&lt;&gt;"ered",'HVAC weighting'!$G$23,'HVAC weighting'!$G$24))*IFERROR(VLOOKUP(RIGHT('SC-NR'!$D76,4),'HVAC weighting'!$A$3:$C$8,MATCH('SC-NR'!$C76,'HVAC weighting'!$B$3:$C$3,0)+1,FALSE),1)</f>
        <v>0.84278566494853502</v>
      </c>
      <c r="Y76" s="29">
        <f ca="1">(VLOOKUP($C76,$D$37:$Z$38,$X$56+3,FALSE)+VLOOKUP($C76,$D$43:$Z$44,$X$56+3,FALSE))*$A76*$D$65/8760/1000*88%*IF($C76="Manufactured",IF(RIGHT($D76,4)&lt;&gt;"ered",'HVAC weighting'!$G$17,'HVAC weighting'!$G$18),IF(RIGHT($D76,4)&lt;&gt;"ered",'HVAC weighting'!$G$23,'HVAC weighting'!$G$24))*IFERROR(VLOOKUP(RIGHT('SC-NR'!$D76,4),'HVAC weighting'!$A$3:$C$8,MATCH('SC-NR'!$C76,'HVAC weighting'!$B$3:$C$3,0)+1,FALSE),1)</f>
        <v>10.651784151883472</v>
      </c>
      <c r="AA76" s="29">
        <f t="shared" ca="1" si="28"/>
        <v>9.2145089361884409</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A77" s="58">
        <f t="shared" si="25"/>
        <v>998.36291367990407</v>
      </c>
      <c r="B77" s="58">
        <f t="shared" si="26"/>
        <v>88.894732127246641</v>
      </c>
      <c r="C77" s="7" t="str">
        <f t="shared" si="27"/>
        <v>Manufactured</v>
      </c>
      <c r="D77" s="7" t="s">
        <v>486</v>
      </c>
      <c r="E77" s="29">
        <f ca="1">VLOOKUP($C77,$D$50:$Z$51,E$56+1,FALSE)*$D$65*$A77/8760/1000*88%*IF($C77="Manufactured",IF(RIGHT($D77,4)&lt;&gt;"ered",'HVAC weighting'!$G$17,'HVAC weighting'!$G$18),IF(RIGHT($D77,4)&lt;&gt;"ered",'HVAC weighting'!$G$23,'HVAC weighting'!$G$24))*IFERROR(VLOOKUP(RIGHT('SC-NR'!$D77,4),'HVAC weighting'!$A$3:$C$8,MATCH('SC-NR'!$C77,'HVAC weighting'!$B$3:$C$3,0)+1,FALSE),1)</f>
        <v>6.9339712699933356E-3</v>
      </c>
      <c r="F77" s="29">
        <f ca="1">VLOOKUP($C77,$D$50:$Z$51,F$56+1,FALSE)*$D$65*$A77/8760/1000*88%*IF($C77="Manufactured",IF(RIGHT($D77,4)&lt;&gt;"ered",'HVAC weighting'!$G$17,'HVAC weighting'!$G$18),IF(RIGHT($D77,4)&lt;&gt;"ered",'HVAC weighting'!$G$23,'HVAC weighting'!$G$24))*IFERROR(VLOOKUP(RIGHT('SC-NR'!$D77,4),'HVAC weighting'!$A$3:$C$8,MATCH('SC-NR'!$C77,'HVAC weighting'!$B$3:$C$3,0)+1,FALSE),1)</f>
        <v>1.7642943804183596E-2</v>
      </c>
      <c r="G77" s="29">
        <f ca="1">VLOOKUP($C77,$D$50:$Z$51,G$56+1,FALSE)*$D$65*$A77/8760/1000*88%*IF($C77="Manufactured",IF(RIGHT($D77,4)&lt;&gt;"ered",'HVAC weighting'!$G$17,'HVAC weighting'!$G$18),IF(RIGHT($D77,4)&lt;&gt;"ered",'HVAC weighting'!$G$23,'HVAC weighting'!$G$24))*IFERROR(VLOOKUP(RIGHT('SC-NR'!$D77,4),'HVAC weighting'!$A$3:$C$8,MATCH('SC-NR'!$C77,'HVAC weighting'!$B$3:$C$3,0)+1,FALSE),1)</f>
        <v>3.8790068314766328E-2</v>
      </c>
      <c r="H77" s="29">
        <f ca="1">VLOOKUP($C77,$D$50:$Z$51,H$56+1,FALSE)*$D$65*$A77/8760/1000*88%*IF($C77="Manufactured",IF(RIGHT($D77,4)&lt;&gt;"ered",'HVAC weighting'!$G$17,'HVAC weighting'!$G$18),IF(RIGHT($D77,4)&lt;&gt;"ered",'HVAC weighting'!$G$23,'HVAC weighting'!$G$24))*IFERROR(VLOOKUP(RIGHT('SC-NR'!$D77,4),'HVAC weighting'!$A$3:$C$8,MATCH('SC-NR'!$C77,'HVAC weighting'!$B$3:$C$3,0)+1,FALSE),1)</f>
        <v>7.5313924989116501E-2</v>
      </c>
      <c r="I77" s="29">
        <f ca="1">VLOOKUP($C77,$D$50:$Z$51,I$56+1,FALSE)*$D$65*$A77/8760/1000*88%*IF($C77="Manufactured",IF(RIGHT($D77,4)&lt;&gt;"ered",'HVAC weighting'!$G$17,'HVAC weighting'!$G$18),IF(RIGHT($D77,4)&lt;&gt;"ered",'HVAC weighting'!$G$23,'HVAC weighting'!$G$24))*IFERROR(VLOOKUP(RIGHT('SC-NR'!$D77,4),'HVAC weighting'!$A$3:$C$8,MATCH('SC-NR'!$C77,'HVAC weighting'!$B$3:$C$3,0)+1,FALSE),1)</f>
        <v>0.13135471666463316</v>
      </c>
      <c r="J77" s="29">
        <f ca="1">VLOOKUP($C77,$D$50:$Z$51,J$56+1,FALSE)*$D$65*$A77/8760/1000*88%*IF($C77="Manufactured",IF(RIGHT($D77,4)&lt;&gt;"ered",'HVAC weighting'!$G$17,'HVAC weighting'!$G$18),IF(RIGHT($D77,4)&lt;&gt;"ered",'HVAC weighting'!$G$23,'HVAC weighting'!$G$24))*IFERROR(VLOOKUP(RIGHT('SC-NR'!$D77,4),'HVAC weighting'!$A$3:$C$8,MATCH('SC-NR'!$C77,'HVAC weighting'!$B$3:$C$3,0)+1,FALSE),1)</f>
        <v>0.20868435690889908</v>
      </c>
      <c r="K77" s="29">
        <f ca="1">VLOOKUP($C77,$D$50:$Z$51,K$56+1,FALSE)*$D$65*$A77/8760/1000*88%*IF($C77="Manufactured",IF(RIGHT($D77,4)&lt;&gt;"ered",'HVAC weighting'!$G$17,'HVAC weighting'!$G$18),IF(RIGHT($D77,4)&lt;&gt;"ered",'HVAC weighting'!$G$23,'HVAC weighting'!$G$24))*IFERROR(VLOOKUP(RIGHT('SC-NR'!$D77,4),'HVAC weighting'!$A$3:$C$8,MATCH('SC-NR'!$C77,'HVAC weighting'!$B$3:$C$3,0)+1,FALSE),1)</f>
        <v>0.3055894268881737</v>
      </c>
      <c r="L77" s="29">
        <f ca="1">VLOOKUP($C77,$D$50:$Z$51,L$56+1,FALSE)*$D$65*$A77/8760/1000*88%*IF($C77="Manufactured",IF(RIGHT($D77,4)&lt;&gt;"ered",'HVAC weighting'!$G$17,'HVAC weighting'!$G$18),IF(RIGHT($D77,4)&lt;&gt;"ered",'HVAC weighting'!$G$23,'HVAC weighting'!$G$24))*IFERROR(VLOOKUP(RIGHT('SC-NR'!$D77,4),'HVAC weighting'!$A$3:$C$8,MATCH('SC-NR'!$C77,'HVAC weighting'!$B$3:$C$3,0)+1,FALSE),1)</f>
        <v>0.41674538625089902</v>
      </c>
      <c r="M77" s="29">
        <f ca="1">VLOOKUP($C77,$D$50:$Z$51,M$56+1,FALSE)*$D$65*$A77/8760/1000*88%*IF($C77="Manufactured",IF(RIGHT($D77,4)&lt;&gt;"ered",'HVAC weighting'!$G$17,'HVAC weighting'!$G$18),IF(RIGHT($D77,4)&lt;&gt;"ered",'HVAC weighting'!$G$23,'HVAC weighting'!$G$24))*IFERROR(VLOOKUP(RIGHT('SC-NR'!$D77,4),'HVAC weighting'!$A$3:$C$8,MATCH('SC-NR'!$C77,'HVAC weighting'!$B$3:$C$3,0)+1,FALSE),1)</f>
        <v>0.53419821197946515</v>
      </c>
      <c r="N77" s="29">
        <f ca="1">VLOOKUP($C77,$D$50:$Z$51,N$56+1,FALSE)*$D$65*$A77/8760/1000*88%*IF($C77="Manufactured",IF(RIGHT($D77,4)&lt;&gt;"ered",'HVAC weighting'!$G$17,'HVAC weighting'!$G$18),IF(RIGHT($D77,4)&lt;&gt;"ered",'HVAC weighting'!$G$23,'HVAC weighting'!$G$24))*IFERROR(VLOOKUP(RIGHT('SC-NR'!$D77,4),'HVAC weighting'!$A$3:$C$8,MATCH('SC-NR'!$C77,'HVAC weighting'!$B$3:$C$3,0)+1,FALSE),1)</f>
        <v>0.64909300699675621</v>
      </c>
      <c r="O77" s="29">
        <f ca="1">VLOOKUP($C77,$D$50:$Z$51,O$56+1,FALSE)*$D$65*$A77/8760/1000*88%*IF($C77="Manufactured",IF(RIGHT($D77,4)&lt;&gt;"ered",'HVAC weighting'!$G$17,'HVAC weighting'!$G$18),IF(RIGHT($D77,4)&lt;&gt;"ered",'HVAC weighting'!$G$23,'HVAC weighting'!$G$24))*IFERROR(VLOOKUP(RIGHT('SC-NR'!$D77,4),'HVAC weighting'!$A$3:$C$8,MATCH('SC-NR'!$C77,'HVAC weighting'!$B$3:$C$3,0)+1,FALSE),1)</f>
        <v>0.75351670721153197</v>
      </c>
      <c r="P77" s="29">
        <f ca="1">VLOOKUP($C77,$D$50:$Z$51,P$56+1,FALSE)*$D$65*$A77/8760/1000*88%*IF($C77="Manufactured",IF(RIGHT($D77,4)&lt;&gt;"ered",'HVAC weighting'!$G$17,'HVAC weighting'!$G$18),IF(RIGHT($D77,4)&lt;&gt;"ered",'HVAC weighting'!$G$23,'HVAC weighting'!$G$24))*IFERROR(VLOOKUP(RIGHT('SC-NR'!$D77,4),'HVAC weighting'!$A$3:$C$8,MATCH('SC-NR'!$C77,'HVAC weighting'!$B$3:$C$3,0)+1,FALSE),1)</f>
        <v>0.84186301911325867</v>
      </c>
      <c r="Q77" s="29">
        <f ca="1">VLOOKUP($C77,$D$50:$Z$51,Q$56+1,FALSE)*$D$65*$A77/8760/1000*88%*IF($C77="Manufactured",IF(RIGHT($D77,4)&lt;&gt;"ered",'HVAC weighting'!$G$17,'HVAC weighting'!$G$18),IF(RIGHT($D77,4)&lt;&gt;"ered",'HVAC weighting'!$G$23,'HVAC weighting'!$G$24))*IFERROR(VLOOKUP(RIGHT('SC-NR'!$D77,4),'HVAC weighting'!$A$3:$C$8,MATCH('SC-NR'!$C77,'HVAC weighting'!$B$3:$C$3,0)+1,FALSE),1)</f>
        <v>0.91140514977544662</v>
      </c>
      <c r="R77" s="29">
        <f ca="1">VLOOKUP($C77,$D$50:$Z$51,R$56+1,FALSE)*$D$65*$A77/8760/1000*88%*IF($C77="Manufactured",IF(RIGHT($D77,4)&lt;&gt;"ered",'HVAC weighting'!$G$17,'HVAC weighting'!$G$18),IF(RIGHT($D77,4)&lt;&gt;"ered",'HVAC weighting'!$G$23,'HVAC weighting'!$G$24))*IFERROR(VLOOKUP(RIGHT('SC-NR'!$D77,4),'HVAC weighting'!$A$3:$C$8,MATCH('SC-NR'!$C77,'HVAC weighting'!$B$3:$C$3,0)+1,FALSE),1)</f>
        <v>1.00889556386652</v>
      </c>
      <c r="S77" s="29">
        <f ca="1">VLOOKUP($C77,$D$50:$Z$51,S$56+1,FALSE)*$D$65*$A77/8760/1000*88%*IF($C77="Manufactured",IF(RIGHT($D77,4)&lt;&gt;"ered",'HVAC weighting'!$G$17,'HVAC weighting'!$G$18),IF(RIGHT($D77,4)&lt;&gt;"ered",'HVAC weighting'!$G$23,'HVAC weighting'!$G$24))*IFERROR(VLOOKUP(RIGHT('SC-NR'!$D77,4),'HVAC weighting'!$A$3:$C$8,MATCH('SC-NR'!$C77,'HVAC weighting'!$B$3:$C$3,0)+1,FALSE),1)</f>
        <v>1.0448058477160271</v>
      </c>
      <c r="T77" s="29">
        <f ca="1">VLOOKUP($C77,$D$50:$Z$51,T$56+1,FALSE)*$D$65*$A77/8760/1000*88%*IF($C77="Manufactured",IF(RIGHT($D77,4)&lt;&gt;"ered",'HVAC weighting'!$G$17,'HVAC weighting'!$G$18),IF(RIGHT($D77,4)&lt;&gt;"ered",'HVAC weighting'!$G$23,'HVAC weighting'!$G$24))*IFERROR(VLOOKUP(RIGHT('SC-NR'!$D77,4),'HVAC weighting'!$A$3:$C$8,MATCH('SC-NR'!$C77,'HVAC weighting'!$B$3:$C$3,0)+1,FALSE),1)</f>
        <v>1.0672493437892179</v>
      </c>
      <c r="U77" s="29">
        <f ca="1">VLOOKUP($C77,$D$50:$Z$51,U$56+1,FALSE)*$D$65*$A77/8760/1000*88%*IF($C77="Manufactured",IF(RIGHT($D77,4)&lt;&gt;"ered",'HVAC weighting'!$G$17,'HVAC weighting'!$G$18),IF(RIGHT($D77,4)&lt;&gt;"ered",'HVAC weighting'!$G$23,'HVAC weighting'!$G$24))*IFERROR(VLOOKUP(RIGHT('SC-NR'!$D77,4),'HVAC weighting'!$A$3:$C$8,MATCH('SC-NR'!$C77,'HVAC weighting'!$B$3:$C$3,0)+1,FALSE),1)</f>
        <v>1.0781155256953203</v>
      </c>
      <c r="V77" s="29">
        <f ca="1">VLOOKUP($C77,$D$50:$Z$51,V$56+1,FALSE)*$D$65*$A77/8760/1000*88%*IF($C77="Manufactured",IF(RIGHT($D77,4)&lt;&gt;"ered",'HVAC weighting'!$G$17,'HVAC weighting'!$G$18),IF(RIGHT($D77,4)&lt;&gt;"ered",'HVAC weighting'!$G$23,'HVAC weighting'!$G$24))*IFERROR(VLOOKUP(RIGHT('SC-NR'!$D77,4),'HVAC weighting'!$A$3:$C$8,MATCH('SC-NR'!$C77,'HVAC weighting'!$B$3:$C$3,0)+1,FALSE),1)</f>
        <v>1.0767528142166047</v>
      </c>
      <c r="W77" s="29">
        <f ca="1">VLOOKUP($C77,$D$50:$Z$51,W$56+1,FALSE)*$D$65*$A77/8760/1000*88%*IF($C77="Manufactured",IF(RIGHT($D77,4)&lt;&gt;"ered",'HVAC weighting'!$G$17,'HVAC weighting'!$G$18),IF(RIGHT($D77,4)&lt;&gt;"ered",'HVAC weighting'!$G$23,'HVAC weighting'!$G$24))*IFERROR(VLOOKUP(RIGHT('SC-NR'!$D77,4),'HVAC weighting'!$A$3:$C$8,MATCH('SC-NR'!$C77,'HVAC weighting'!$B$3:$C$3,0)+1,FALSE),1)</f>
        <v>1.0700757000781886</v>
      </c>
      <c r="X77" s="29">
        <f ca="1">VLOOKUP($C77,$D$50:$Z$51,X$56+1,FALSE)*$D$65*$A77/8760/1000*88%*IF($C77="Manufactured",IF(RIGHT($D77,4)&lt;&gt;"ered",'HVAC weighting'!$G$17,'HVAC weighting'!$G$18),IF(RIGHT($D77,4)&lt;&gt;"ered",'HVAC weighting'!$G$23,'HVAC weighting'!$G$24))*IFERROR(VLOOKUP(RIGHT('SC-NR'!$D77,4),'HVAC weighting'!$A$3:$C$8,MATCH('SC-NR'!$C77,'HVAC weighting'!$B$3:$C$3,0)+1,FALSE),1)</f>
        <v>1.0601637884305444</v>
      </c>
      <c r="Y77" s="29">
        <f ca="1">(VLOOKUP($C77,$D$37:$Z$38,$X$56+3,FALSE)+VLOOKUP($C77,$D$43:$Z$44,$X$56+3,FALSE))*$A77*$D$65/8760/1000*88%*IF($C77="Manufactured",IF(RIGHT($D77,4)&lt;&gt;"ered",'HVAC weighting'!$G$17,'HVAC weighting'!$G$18),IF(RIGHT($D77,4)&lt;&gt;"ered",'HVAC weighting'!$G$23,'HVAC weighting'!$G$24))*IFERROR(VLOOKUP(RIGHT('SC-NR'!$D77,4),'HVAC weighting'!$A$3:$C$8,MATCH('SC-NR'!$C77,'HVAC weighting'!$B$3:$C$3,0)+1,FALSE),1)</f>
        <v>13.641951400953339</v>
      </c>
      <c r="AA77" s="29">
        <f t="shared" ca="1" si="28"/>
        <v>12.297189473959547</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c r="A78" s="58">
        <f t="shared" si="25"/>
        <v>985.78061802533921</v>
      </c>
      <c r="B78" s="58">
        <f t="shared" si="26"/>
        <v>90.414656755049762</v>
      </c>
      <c r="C78" s="7" t="str">
        <f t="shared" si="27"/>
        <v>Single Family</v>
      </c>
      <c r="D78" s="7" t="s">
        <v>474</v>
      </c>
      <c r="E78" s="29">
        <f ca="1">VLOOKUP($C78,$D$50:$Z$51,E$56+1,FALSE)*$D$65*$A78/8760/1000*88%*IF($C78="Manufactured",IF(RIGHT($D78,4)&lt;&gt;"ered",'HVAC weighting'!$G$17,'HVAC weighting'!$G$18),IF(RIGHT($D78,4)&lt;&gt;"ered",'HVAC weighting'!$G$23,'HVAC weighting'!$G$24))*IFERROR(VLOOKUP(RIGHT('SC-NR'!$D78,4),'HVAC weighting'!$A$3:$C$8,MATCH('SC-NR'!$C78,'HVAC weighting'!$B$3:$C$3,0)+1,FALSE),1)</f>
        <v>1.5494565423348427E-3</v>
      </c>
      <c r="F78" s="29">
        <f ca="1">VLOOKUP($C78,$D$50:$Z$51,F$56+1,FALSE)*$D$65*$A78/8760/1000*88%*IF($C78="Manufactured",IF(RIGHT($D78,4)&lt;&gt;"ered",'HVAC weighting'!$G$17,'HVAC weighting'!$G$18),IF(RIGHT($D78,4)&lt;&gt;"ered",'HVAC weighting'!$G$23,'HVAC weighting'!$G$24))*IFERROR(VLOOKUP(RIGHT('SC-NR'!$D78,4),'HVAC weighting'!$A$3:$C$8,MATCH('SC-NR'!$C78,'HVAC weighting'!$B$3:$C$3,0)+1,FALSE),1)</f>
        <v>3.9760092120659568E-3</v>
      </c>
      <c r="G78" s="29">
        <f ca="1">VLOOKUP($C78,$D$50:$Z$51,G$56+1,FALSE)*$D$65*$A78/8760/1000*88%*IF($C78="Manufactured",IF(RIGHT($D78,4)&lt;&gt;"ered",'HVAC weighting'!$G$17,'HVAC weighting'!$G$18),IF(RIGHT($D78,4)&lt;&gt;"ered",'HVAC weighting'!$G$23,'HVAC weighting'!$G$24))*IFERROR(VLOOKUP(RIGHT('SC-NR'!$D78,4),'HVAC weighting'!$A$3:$C$8,MATCH('SC-NR'!$C78,'HVAC weighting'!$B$3:$C$3,0)+1,FALSE),1)</f>
        <v>8.816086537798383E-3</v>
      </c>
      <c r="H78" s="29">
        <f ca="1">VLOOKUP($C78,$D$50:$Z$51,H$56+1,FALSE)*$D$65*$A78/8760/1000*88%*IF($C78="Manufactured",IF(RIGHT($D78,4)&lt;&gt;"ered",'HVAC weighting'!$G$17,'HVAC weighting'!$G$18),IF(RIGHT($D78,4)&lt;&gt;"ered",'HVAC weighting'!$G$23,'HVAC weighting'!$G$24))*IFERROR(VLOOKUP(RIGHT('SC-NR'!$D78,4),'HVAC weighting'!$A$3:$C$8,MATCH('SC-NR'!$C78,'HVAC weighting'!$B$3:$C$3,0)+1,FALSE),1)</f>
        <v>1.7262732882715692E-2</v>
      </c>
      <c r="I78" s="29">
        <f ca="1">VLOOKUP($C78,$D$50:$Z$51,I$56+1,FALSE)*$D$65*$A78/8760/1000*88%*IF($C78="Manufactured",IF(RIGHT($D78,4)&lt;&gt;"ered",'HVAC weighting'!$G$17,'HVAC weighting'!$G$18),IF(RIGHT($D78,4)&lt;&gt;"ered",'HVAC weighting'!$G$23,'HVAC weighting'!$G$24))*IFERROR(VLOOKUP(RIGHT('SC-NR'!$D78,4),'HVAC weighting'!$A$3:$C$8,MATCH('SC-NR'!$C78,'HVAC weighting'!$B$3:$C$3,0)+1,FALSE),1)</f>
        <v>3.0363994907616706E-2</v>
      </c>
      <c r="J78" s="29">
        <f ca="1">VLOOKUP($C78,$D$50:$Z$51,J$56+1,FALSE)*$D$65*$A78/8760/1000*88%*IF($C78="Manufactured",IF(RIGHT($D78,4)&lt;&gt;"ered",'HVAC weighting'!$G$17,'HVAC weighting'!$G$18),IF(RIGHT($D78,4)&lt;&gt;"ered",'HVAC weighting'!$G$23,'HVAC weighting'!$G$24))*IFERROR(VLOOKUP(RIGHT('SC-NR'!$D78,4),'HVAC weighting'!$A$3:$C$8,MATCH('SC-NR'!$C78,'HVAC weighting'!$B$3:$C$3,0)+1,FALSE),1)</f>
        <v>4.8649916836759191E-2</v>
      </c>
      <c r="K78" s="29">
        <f ca="1">VLOOKUP($C78,$D$50:$Z$51,K$56+1,FALSE)*$D$65*$A78/8760/1000*88%*IF($C78="Manufactured",IF(RIGHT($D78,4)&lt;&gt;"ered",'HVAC weighting'!$G$17,'HVAC weighting'!$G$18),IF(RIGHT($D78,4)&lt;&gt;"ered",'HVAC weighting'!$G$23,'HVAC weighting'!$G$24))*IFERROR(VLOOKUP(RIGHT('SC-NR'!$D78,4),'HVAC weighting'!$A$3:$C$8,MATCH('SC-NR'!$C78,'HVAC weighting'!$B$3:$C$3,0)+1,FALSE),1)</f>
        <v>7.1847142451181234E-2</v>
      </c>
      <c r="L78" s="29">
        <f ca="1">VLOOKUP($C78,$D$50:$Z$51,L$56+1,FALSE)*$D$65*$A78/8760/1000*88%*IF($C78="Manufactured",IF(RIGHT($D78,4)&lt;&gt;"ered",'HVAC weighting'!$G$17,'HVAC weighting'!$G$18),IF(RIGHT($D78,4)&lt;&gt;"ered",'HVAC weighting'!$G$23,'HVAC weighting'!$G$24))*IFERROR(VLOOKUP(RIGHT('SC-NR'!$D78,4),'HVAC weighting'!$A$3:$C$8,MATCH('SC-NR'!$C78,'HVAC weighting'!$B$3:$C$3,0)+1,FALSE),1)</f>
        <v>9.881456092732234E-2</v>
      </c>
      <c r="M78" s="29">
        <f ca="1">VLOOKUP($C78,$D$50:$Z$51,M$56+1,FALSE)*$D$65*$A78/8760/1000*88%*IF($C78="Manufactured",IF(RIGHT($D78,4)&lt;&gt;"ered",'HVAC weighting'!$G$17,'HVAC weighting'!$G$18),IF(RIGHT($D78,4)&lt;&gt;"ered",'HVAC weighting'!$G$23,'HVAC weighting'!$G$24))*IFERROR(VLOOKUP(RIGHT('SC-NR'!$D78,4),'HVAC weighting'!$A$3:$C$8,MATCH('SC-NR'!$C78,'HVAC weighting'!$B$3:$C$3,0)+1,FALSE),1)</f>
        <v>0.1277413624034042</v>
      </c>
      <c r="N78" s="29">
        <f ca="1">VLOOKUP($C78,$D$50:$Z$51,N$56+1,FALSE)*$D$65*$A78/8760/1000*88%*IF($C78="Manufactured",IF(RIGHT($D78,4)&lt;&gt;"ered",'HVAC weighting'!$G$17,'HVAC weighting'!$G$18),IF(RIGHT($D78,4)&lt;&gt;"ered",'HVAC weighting'!$G$23,'HVAC weighting'!$G$24))*IFERROR(VLOOKUP(RIGHT('SC-NR'!$D78,4),'HVAC weighting'!$A$3:$C$8,MATCH('SC-NR'!$C78,'HVAC weighting'!$B$3:$C$3,0)+1,FALSE),1)</f>
        <v>0.15653628146754303</v>
      </c>
      <c r="O78" s="29">
        <f ca="1">VLOOKUP($C78,$D$50:$Z$51,O$56+1,FALSE)*$D$65*$A78/8760/1000*88%*IF($C78="Manufactured",IF(RIGHT($D78,4)&lt;&gt;"ered",'HVAC weighting'!$G$17,'HVAC weighting'!$G$18),IF(RIGHT($D78,4)&lt;&gt;"ered",'HVAC weighting'!$G$23,'HVAC weighting'!$G$24))*IFERROR(VLOOKUP(RIGHT('SC-NR'!$D78,4),'HVAC weighting'!$A$3:$C$8,MATCH('SC-NR'!$C78,'HVAC weighting'!$B$3:$C$3,0)+1,FALSE),1)</f>
        <v>0.18326517150536983</v>
      </c>
      <c r="P78" s="29">
        <f ca="1">VLOOKUP($C78,$D$50:$Z$51,P$56+1,FALSE)*$D$65*$A78/8760/1000*88%*IF($C78="Manufactured",IF(RIGHT($D78,4)&lt;&gt;"ered",'HVAC weighting'!$G$17,'HVAC weighting'!$G$18),IF(RIGHT($D78,4)&lt;&gt;"ered",'HVAC weighting'!$G$23,'HVAC weighting'!$G$24))*IFERROR(VLOOKUP(RIGHT('SC-NR'!$D78,4),'HVAC weighting'!$A$3:$C$8,MATCH('SC-NR'!$C78,'HVAC weighting'!$B$3:$C$3,0)+1,FALSE),1)</f>
        <v>0.20649400756161718</v>
      </c>
      <c r="Q78" s="29">
        <f ca="1">VLOOKUP($C78,$D$50:$Z$51,Q$56+1,FALSE)*$D$65*$A78/8760/1000*88%*IF($C78="Manufactured",IF(RIGHT($D78,4)&lt;&gt;"ered",'HVAC weighting'!$G$17,'HVAC weighting'!$G$18),IF(RIGHT($D78,4)&lt;&gt;"ered",'HVAC weighting'!$G$23,'HVAC weighting'!$G$24))*IFERROR(VLOOKUP(RIGHT('SC-NR'!$D78,4),'HVAC weighting'!$A$3:$C$8,MATCH('SC-NR'!$C78,'HVAC weighting'!$B$3:$C$3,0)+1,FALSE),1)</f>
        <v>0.225453233070292</v>
      </c>
      <c r="R78" s="29">
        <f ca="1">VLOOKUP($C78,$D$50:$Z$51,R$56+1,FALSE)*$D$65*$A78/8760/1000*88%*IF($C78="Manufactured",IF(RIGHT($D78,4)&lt;&gt;"ered",'HVAC weighting'!$G$17,'HVAC weighting'!$G$18),IF(RIGHT($D78,4)&lt;&gt;"ered",'HVAC weighting'!$G$23,'HVAC weighting'!$G$24))*IFERROR(VLOOKUP(RIGHT('SC-NR'!$D78,4),'HVAC weighting'!$A$3:$C$8,MATCH('SC-NR'!$C78,'HVAC weighting'!$B$3:$C$3,0)+1,FALSE),1)</f>
        <v>0.28773045028306754</v>
      </c>
      <c r="S78" s="29">
        <f ca="1">VLOOKUP($C78,$D$50:$Z$51,S$56+1,FALSE)*$D$65*$A78/8760/1000*88%*IF($C78="Manufactured",IF(RIGHT($D78,4)&lt;&gt;"ered",'HVAC weighting'!$G$17,'HVAC weighting'!$G$18),IF(RIGHT($D78,4)&lt;&gt;"ered",'HVAC weighting'!$G$23,'HVAC weighting'!$G$24))*IFERROR(VLOOKUP(RIGHT('SC-NR'!$D78,4),'HVAC weighting'!$A$3:$C$8,MATCH('SC-NR'!$C78,'HVAC weighting'!$B$3:$C$3,0)+1,FALSE),1)</f>
        <v>0.29797172535494287</v>
      </c>
      <c r="T78" s="29">
        <f ca="1">VLOOKUP($C78,$D$50:$Z$51,T$56+1,FALSE)*$D$65*$A78/8760/1000*88%*IF($C78="Manufactured",IF(RIGHT($D78,4)&lt;&gt;"ered",'HVAC weighting'!$G$17,'HVAC weighting'!$G$18),IF(RIGHT($D78,4)&lt;&gt;"ered",'HVAC weighting'!$G$23,'HVAC weighting'!$G$24))*IFERROR(VLOOKUP(RIGHT('SC-NR'!$D78,4),'HVAC weighting'!$A$3:$C$8,MATCH('SC-NR'!$C78,'HVAC weighting'!$B$3:$C$3,0)+1,FALSE),1)</f>
        <v>0.30340451077752834</v>
      </c>
      <c r="U78" s="29">
        <f ca="1">VLOOKUP($C78,$D$50:$Z$51,U$56+1,FALSE)*$D$65*$A78/8760/1000*88%*IF($C78="Manufactured",IF(RIGHT($D78,4)&lt;&gt;"ered",'HVAC weighting'!$G$17,'HVAC weighting'!$G$18),IF(RIGHT($D78,4)&lt;&gt;"ered",'HVAC weighting'!$G$23,'HVAC weighting'!$G$24))*IFERROR(VLOOKUP(RIGHT('SC-NR'!$D78,4),'HVAC weighting'!$A$3:$C$8,MATCH('SC-NR'!$C78,'HVAC weighting'!$B$3:$C$3,0)+1,FALSE),1)</f>
        <v>0.30623155905903177</v>
      </c>
      <c r="V78" s="29">
        <f ca="1">VLOOKUP($C78,$D$50:$Z$51,V$56+1,FALSE)*$D$65*$A78/8760/1000*88%*IF($C78="Manufactured",IF(RIGHT($D78,4)&lt;&gt;"ered",'HVAC weighting'!$G$17,'HVAC weighting'!$G$18),IF(RIGHT($D78,4)&lt;&gt;"ered",'HVAC weighting'!$G$23,'HVAC weighting'!$G$24))*IFERROR(VLOOKUP(RIGHT('SC-NR'!$D78,4),'HVAC weighting'!$A$3:$C$8,MATCH('SC-NR'!$C78,'HVAC weighting'!$B$3:$C$3,0)+1,FALSE),1)</f>
        <v>0.30651782299316427</v>
      </c>
      <c r="W78" s="29">
        <f ca="1">VLOOKUP($C78,$D$50:$Z$51,W$56+1,FALSE)*$D$65*$A78/8760/1000*88%*IF($C78="Manufactured",IF(RIGHT($D78,4)&lt;&gt;"ered",'HVAC weighting'!$G$17,'HVAC weighting'!$G$18),IF(RIGHT($D78,4)&lt;&gt;"ered",'HVAC weighting'!$G$23,'HVAC weighting'!$G$24))*IFERROR(VLOOKUP(RIGHT('SC-NR'!$D78,4),'HVAC weighting'!$A$3:$C$8,MATCH('SC-NR'!$C78,'HVAC weighting'!$B$3:$C$3,0)+1,FALSE),1)</f>
        <v>0.30389849585141765</v>
      </c>
      <c r="X78" s="29">
        <f ca="1">VLOOKUP($C78,$D$50:$Z$51,X$56+1,FALSE)*$D$65*$A78/8760/1000*88%*IF($C78="Manufactured",IF(RIGHT($D78,4)&lt;&gt;"ered",'HVAC weighting'!$G$17,'HVAC weighting'!$G$18),IF(RIGHT($D78,4)&lt;&gt;"ered",'HVAC weighting'!$G$23,'HVAC weighting'!$G$24))*IFERROR(VLOOKUP(RIGHT('SC-NR'!$D78,4),'HVAC weighting'!$A$3:$C$8,MATCH('SC-NR'!$C78,'HVAC weighting'!$B$3:$C$3,0)+1,FALSE),1)</f>
        <v>0.30065495148974342</v>
      </c>
      <c r="Y78" s="29">
        <f ca="1">(VLOOKUP($C78,$D$37:$Z$38,$X$56+3,FALSE)+VLOOKUP($C78,$D$43:$Z$44,$X$56+3,FALSE))*$A78*$D$65/8760/1000*88%*IF($C78="Manufactured",IF(RIGHT($D78,4)&lt;&gt;"ered",'HVAC weighting'!$G$17,'HVAC weighting'!$G$18),IF(RIGHT($D78,4)&lt;&gt;"ered",'HVAC weighting'!$G$23,'HVAC weighting'!$G$24))*IFERROR(VLOOKUP(RIGHT('SC-NR'!$D78,4),'HVAC weighting'!$A$3:$C$8,MATCH('SC-NR'!$C78,'HVAC weighting'!$B$3:$C$3,0)+1,FALSE),1)</f>
        <v>3.7999123391109237</v>
      </c>
      <c r="AA78" s="29">
        <f ca="1">SUM(E78:X78)</f>
        <v>3.2871794721149161</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c r="A79" s="58">
        <f t="shared" si="25"/>
        <v>317.07386640893014</v>
      </c>
      <c r="B79" s="58">
        <f t="shared" si="26"/>
        <v>422.42149509679393</v>
      </c>
      <c r="C79" s="7" t="str">
        <f t="shared" si="27"/>
        <v>Manufactured</v>
      </c>
      <c r="D79" s="7" t="s">
        <v>496</v>
      </c>
      <c r="E79" s="29">
        <f ca="1">VLOOKUP($C79,$D$50:$Z$51,E$56+1,FALSE)*$D$65*$A79/8760/1000*IF($C79="Manufactured",IF(RIGHT($D79,4)&lt;&gt;"ered",'HVAC weighting'!$G$17,'HVAC weighting'!$G$18),IF(RIGHT($D79,4)&lt;&gt;"ered",'HVAC weighting'!$G$23,'HVAC weighting'!$G$24))*IFERROR(VLOOKUP(RIGHT('SC-NR'!$D79,4),'HVAC weighting'!$A$3:$C$8,MATCH('SC-NR'!$C79,'HVAC weighting'!$B$3:$C$3,0)+1,FALSE),1)</f>
        <v>1.6950362177129738E-3</v>
      </c>
      <c r="F79" s="29">
        <f ca="1">VLOOKUP($C79,$D$50:$Z$51,F$56+1,FALSE)*$D$65*$A79/8760/1000*IF($C79="Manufactured",IF(RIGHT($D79,4)&lt;&gt;"ered",'HVAC weighting'!$G$17,'HVAC weighting'!$G$18),IF(RIGHT($D79,4)&lt;&gt;"ered",'HVAC weighting'!$G$23,'HVAC weighting'!$G$24))*IFERROR(VLOOKUP(RIGHT('SC-NR'!$D79,4),'HVAC weighting'!$A$3:$C$8,MATCH('SC-NR'!$C79,'HVAC weighting'!$B$3:$C$3,0)+1,FALSE),1)</f>
        <v>4.3128861615826467E-3</v>
      </c>
      <c r="G79" s="29">
        <f ca="1">VLOOKUP($C79,$D$50:$Z$51,G$56+1,FALSE)*$D$65*$A79/8760/1000*IF($C79="Manufactured",IF(RIGHT($D79,4)&lt;&gt;"ered",'HVAC weighting'!$G$17,'HVAC weighting'!$G$18),IF(RIGHT($D79,4)&lt;&gt;"ered",'HVAC weighting'!$G$23,'HVAC weighting'!$G$24))*IFERROR(VLOOKUP(RIGHT('SC-NR'!$D79,4),'HVAC weighting'!$A$3:$C$8,MATCH('SC-NR'!$C79,'HVAC weighting'!$B$3:$C$3,0)+1,FALSE),1)</f>
        <v>9.4823829117412183E-3</v>
      </c>
      <c r="H79" s="29">
        <f ca="1">VLOOKUP($C79,$D$50:$Z$51,H$56+1,FALSE)*$D$65*$A79/8760/1000*IF($C79="Manufactured",IF(RIGHT($D79,4)&lt;&gt;"ered",'HVAC weighting'!$G$17,'HVAC weighting'!$G$18),IF(RIGHT($D79,4)&lt;&gt;"ered",'HVAC weighting'!$G$23,'HVAC weighting'!$G$24))*IFERROR(VLOOKUP(RIGHT('SC-NR'!$D79,4),'HVAC weighting'!$A$3:$C$8,MATCH('SC-NR'!$C79,'HVAC weighting'!$B$3:$C$3,0)+1,FALSE),1)</f>
        <v>1.8410781583003778E-2</v>
      </c>
      <c r="I79" s="29">
        <f ca="1">VLOOKUP($C79,$D$50:$Z$51,I$56+1,FALSE)*$D$65*$A79/8760/1000*IF($C79="Manufactured",IF(RIGHT($D79,4)&lt;&gt;"ered",'HVAC weighting'!$G$17,'HVAC weighting'!$G$18),IF(RIGHT($D79,4)&lt;&gt;"ered",'HVAC weighting'!$G$23,'HVAC weighting'!$G$24))*IFERROR(VLOOKUP(RIGHT('SC-NR'!$D79,4),'HVAC weighting'!$A$3:$C$8,MATCH('SC-NR'!$C79,'HVAC weighting'!$B$3:$C$3,0)+1,FALSE),1)</f>
        <v>3.2110170845024738E-2</v>
      </c>
      <c r="J79" s="29">
        <f ca="1">VLOOKUP($C79,$D$50:$Z$51,J$56+1,FALSE)*$D$65*$A79/8760/1000*IF($C79="Manufactured",IF(RIGHT($D79,4)&lt;&gt;"ered",'HVAC weighting'!$G$17,'HVAC weighting'!$G$18),IF(RIGHT($D79,4)&lt;&gt;"ered",'HVAC weighting'!$G$23,'HVAC weighting'!$G$24))*IFERROR(VLOOKUP(RIGHT('SC-NR'!$D79,4),'HVAC weighting'!$A$3:$C$8,MATCH('SC-NR'!$C79,'HVAC weighting'!$B$3:$C$3,0)+1,FALSE),1)</f>
        <v>5.1013701853867721E-2</v>
      </c>
      <c r="K79" s="29">
        <f ca="1">VLOOKUP($C79,$D$50:$Z$51,K$56+1,FALSE)*$D$65*$A79/8760/1000*IF($C79="Manufactured",IF(RIGHT($D79,4)&lt;&gt;"ered",'HVAC weighting'!$G$17,'HVAC weighting'!$G$18),IF(RIGHT($D79,4)&lt;&gt;"ered",'HVAC weighting'!$G$23,'HVAC weighting'!$G$24))*IFERROR(VLOOKUP(RIGHT('SC-NR'!$D79,4),'HVAC weighting'!$A$3:$C$8,MATCH('SC-NR'!$C79,'HVAC weighting'!$B$3:$C$3,0)+1,FALSE),1)</f>
        <v>7.4702522718428144E-2</v>
      </c>
      <c r="L79" s="29">
        <f ca="1">VLOOKUP($C79,$D$50:$Z$51,L$56+1,FALSE)*$D$65*$A79/8760/1000*IF($C79="Manufactured",IF(RIGHT($D79,4)&lt;&gt;"ered",'HVAC weighting'!$G$17,'HVAC weighting'!$G$18),IF(RIGHT($D79,4)&lt;&gt;"ered",'HVAC weighting'!$G$23,'HVAC weighting'!$G$24))*IFERROR(VLOOKUP(RIGHT('SC-NR'!$D79,4),'HVAC weighting'!$A$3:$C$8,MATCH('SC-NR'!$C79,'HVAC weighting'!$B$3:$C$3,0)+1,FALSE),1)</f>
        <v>0.10187502886217401</v>
      </c>
      <c r="M79" s="29">
        <f ca="1">VLOOKUP($C79,$D$50:$Z$51,M$56+1,FALSE)*$D$65*$A79/8760/1000*IF($C79="Manufactured",IF(RIGHT($D79,4)&lt;&gt;"ered",'HVAC weighting'!$G$17,'HVAC weighting'!$G$18),IF(RIGHT($D79,4)&lt;&gt;"ered",'HVAC weighting'!$G$23,'HVAC weighting'!$G$24))*IFERROR(VLOOKUP(RIGHT('SC-NR'!$D79,4),'HVAC weighting'!$A$3:$C$8,MATCH('SC-NR'!$C79,'HVAC weighting'!$B$3:$C$3,0)+1,FALSE),1)</f>
        <v>0.13058682845445022</v>
      </c>
      <c r="N79" s="29">
        <f ca="1">VLOOKUP($C79,$D$50:$Z$51,N$56+1,FALSE)*$D$65*$A79/8760/1000*IF($C79="Manufactured",IF(RIGHT($D79,4)&lt;&gt;"ered",'HVAC weighting'!$G$17,'HVAC weighting'!$G$18),IF(RIGHT($D79,4)&lt;&gt;"ered",'HVAC weighting'!$G$23,'HVAC weighting'!$G$24))*IFERROR(VLOOKUP(RIGHT('SC-NR'!$D79,4),'HVAC weighting'!$A$3:$C$8,MATCH('SC-NR'!$C79,'HVAC weighting'!$B$3:$C$3,0)+1,FALSE),1)</f>
        <v>0.15867330750056308</v>
      </c>
      <c r="O79" s="29">
        <f ca="1">VLOOKUP($C79,$D$50:$Z$51,O$56+1,FALSE)*$D$65*$A79/8760/1000*IF($C79="Manufactured",IF(RIGHT($D79,4)&lt;&gt;"ered",'HVAC weighting'!$G$17,'HVAC weighting'!$G$18),IF(RIGHT($D79,4)&lt;&gt;"ered",'HVAC weighting'!$G$23,'HVAC weighting'!$G$24))*IFERROR(VLOOKUP(RIGHT('SC-NR'!$D79,4),'HVAC weighting'!$A$3:$C$8,MATCH('SC-NR'!$C79,'HVAC weighting'!$B$3:$C$3,0)+1,FALSE),1)</f>
        <v>0.1842000867385476</v>
      </c>
      <c r="P79" s="29">
        <f ca="1">VLOOKUP($C79,$D$50:$Z$51,P$56+1,FALSE)*$D$65*$A79/8760/1000*IF($C79="Manufactured",IF(RIGHT($D79,4)&lt;&gt;"ered",'HVAC weighting'!$G$17,'HVAC weighting'!$G$18),IF(RIGHT($D79,4)&lt;&gt;"ered",'HVAC weighting'!$G$23,'HVAC weighting'!$G$24))*IFERROR(VLOOKUP(RIGHT('SC-NR'!$D79,4),'HVAC weighting'!$A$3:$C$8,MATCH('SC-NR'!$C79,'HVAC weighting'!$B$3:$C$3,0)+1,FALSE),1)</f>
        <v>0.20579668593745618</v>
      </c>
      <c r="Q79" s="29">
        <f ca="1">VLOOKUP($C79,$D$50:$Z$51,Q$56+1,FALSE)*$D$65*$A79/8760/1000*IF($C79="Manufactured",IF(RIGHT($D79,4)&lt;&gt;"ered",'HVAC weighting'!$G$17,'HVAC weighting'!$G$18),IF(RIGHT($D79,4)&lt;&gt;"ered",'HVAC weighting'!$G$23,'HVAC weighting'!$G$24))*IFERROR(VLOOKUP(RIGHT('SC-NR'!$D79,4),'HVAC weighting'!$A$3:$C$8,MATCH('SC-NR'!$C79,'HVAC weighting'!$B$3:$C$3,0)+1,FALSE),1)</f>
        <v>0.22279652997191954</v>
      </c>
      <c r="R79" s="29">
        <f ca="1">VLOOKUP($C79,$D$50:$Z$51,R$56+1,FALSE)*$D$65*$A79/8760/1000*IF($C79="Manufactured",IF(RIGHT($D79,4)&lt;&gt;"ered",'HVAC weighting'!$G$17,'HVAC weighting'!$G$18),IF(RIGHT($D79,4)&lt;&gt;"ered",'HVAC weighting'!$G$23,'HVAC weighting'!$G$24))*IFERROR(VLOOKUP(RIGHT('SC-NR'!$D79,4),'HVAC weighting'!$A$3:$C$8,MATCH('SC-NR'!$C79,'HVAC weighting'!$B$3:$C$3,0)+1,FALSE),1)</f>
        <v>0.24662844047886395</v>
      </c>
      <c r="S79" s="29">
        <f ca="1">VLOOKUP($C79,$D$50:$Z$51,S$56+1,FALSE)*$D$65*$A79/8760/1000*IF($C79="Manufactured",IF(RIGHT($D79,4)&lt;&gt;"ered",'HVAC weighting'!$G$17,'HVAC weighting'!$G$18),IF(RIGHT($D79,4)&lt;&gt;"ered",'HVAC weighting'!$G$23,'HVAC weighting'!$G$24))*IFERROR(VLOOKUP(RIGHT('SC-NR'!$D79,4),'HVAC weighting'!$A$3:$C$8,MATCH('SC-NR'!$C79,'HVAC weighting'!$B$3:$C$3,0)+1,FALSE),1)</f>
        <v>0.25540684888916104</v>
      </c>
      <c r="T79" s="29">
        <f ca="1">VLOOKUP($C79,$D$50:$Z$51,T$56+1,FALSE)*$D$65*$A79/8760/1000*IF($C79="Manufactured",IF(RIGHT($D79,4)&lt;&gt;"ered",'HVAC weighting'!$G$17,'HVAC weighting'!$G$18),IF(RIGHT($D79,4)&lt;&gt;"ered",'HVAC weighting'!$G$23,'HVAC weighting'!$G$24))*IFERROR(VLOOKUP(RIGHT('SC-NR'!$D79,4),'HVAC weighting'!$A$3:$C$8,MATCH('SC-NR'!$C79,'HVAC weighting'!$B$3:$C$3,0)+1,FALSE),1)</f>
        <v>0.26089324870462977</v>
      </c>
      <c r="U79" s="29">
        <f ca="1">VLOOKUP($C79,$D$50:$Z$51,U$56+1,FALSE)*$D$65*$A79/8760/1000*IF($C79="Manufactured",IF(RIGHT($D79,4)&lt;&gt;"ered",'HVAC weighting'!$G$17,'HVAC weighting'!$G$18),IF(RIGHT($D79,4)&lt;&gt;"ered",'HVAC weighting'!$G$23,'HVAC weighting'!$G$24))*IFERROR(VLOOKUP(RIGHT('SC-NR'!$D79,4),'HVAC weighting'!$A$3:$C$8,MATCH('SC-NR'!$C79,'HVAC weighting'!$B$3:$C$3,0)+1,FALSE),1)</f>
        <v>0.26354952909027357</v>
      </c>
      <c r="V79" s="29">
        <f ca="1">VLOOKUP($C79,$D$50:$Z$51,V$56+1,FALSE)*$D$65*$A79/8760/1000*IF($C79="Manufactured",IF(RIGHT($D79,4)&lt;&gt;"ered",'HVAC weighting'!$G$17,'HVAC weighting'!$G$18),IF(RIGHT($D79,4)&lt;&gt;"ered",'HVAC weighting'!$G$23,'HVAC weighting'!$G$24))*IFERROR(VLOOKUP(RIGHT('SC-NR'!$D79,4),'HVAC weighting'!$A$3:$C$8,MATCH('SC-NR'!$C79,'HVAC weighting'!$B$3:$C$3,0)+1,FALSE),1)</f>
        <v>0.26321640897471849</v>
      </c>
      <c r="W79" s="29">
        <f ca="1">VLOOKUP($C79,$D$50:$Z$51,W$56+1,FALSE)*$D$65*$A79/8760/1000*IF($C79="Manufactured",IF(RIGHT($D79,4)&lt;&gt;"ered",'HVAC weighting'!$G$17,'HVAC weighting'!$G$18),IF(RIGHT($D79,4)&lt;&gt;"ered",'HVAC weighting'!$G$23,'HVAC weighting'!$G$24))*IFERROR(VLOOKUP(RIGHT('SC-NR'!$D79,4),'HVAC weighting'!$A$3:$C$8,MATCH('SC-NR'!$C79,'HVAC weighting'!$B$3:$C$3,0)+1,FALSE),1)</f>
        <v>0.26158416248079414</v>
      </c>
      <c r="X79" s="29">
        <f ca="1">VLOOKUP($C79,$D$50:$Z$51,X$56+1,FALSE)*$D$65*$A79/8760/1000*IF($C79="Manufactured",IF(RIGHT($D79,4)&lt;&gt;"ered",'HVAC weighting'!$G$17,'HVAC weighting'!$G$18),IF(RIGHT($D79,4)&lt;&gt;"ered",'HVAC weighting'!$G$23,'HVAC weighting'!$G$24))*IFERROR(VLOOKUP(RIGHT('SC-NR'!$D79,4),'HVAC weighting'!$A$3:$C$8,MATCH('SC-NR'!$C79,'HVAC weighting'!$B$3:$C$3,0)+1,FALSE),1)</f>
        <v>0.25916115716748483</v>
      </c>
      <c r="Y79" s="29">
        <f ca="1">(VLOOKUP($C79,$D$37:$Z$38,$X$56+3,FALSE)+VLOOKUP($C79,$D$43:$Z$44,$X$56+3,FALSE))*$A79*$D$65/8760/1000*IF($C79="Manufactured",IF(RIGHT($D79,4)&lt;&gt;"ered",'HVAC weighting'!$G$17,'HVAC weighting'!$G$18),IF(RIGHT($D79,4)&lt;&gt;"ered",'HVAC weighting'!$G$23,'HVAC weighting'!$G$24))*IFERROR(VLOOKUP(RIGHT('SC-NR'!$D79,4),'HVAC weighting'!$A$3:$C$8,MATCH('SC-NR'!$C79,'HVAC weighting'!$B$3:$C$3,0)+1,FALSE),1)</f>
        <v>3.3348280234392118</v>
      </c>
      <c r="AA79" s="29">
        <f t="shared" ca="1" si="28"/>
        <v>3.0060957455423978</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1:80">
      <c r="A80" s="58">
        <f t="shared" si="25"/>
        <v>203.91805256806657</v>
      </c>
      <c r="B80" s="58">
        <f t="shared" si="26"/>
        <v>663.83775968690907</v>
      </c>
      <c r="C80" s="7" t="str">
        <f t="shared" si="27"/>
        <v>Single Family</v>
      </c>
      <c r="D80" s="7" t="s">
        <v>477</v>
      </c>
      <c r="E80" s="29">
        <f ca="1">VLOOKUP($C80,$D$50:$Z$51,E$56+1,FALSE)*$D$65*$A80/8760/1000*IF($C80="Manufactured",IF(RIGHT($D80,4)&lt;&gt;"ered",'HVAC weighting'!$G$17,'HVAC weighting'!$G$18),IF(RIGHT($D80,4)&lt;&gt;"ered",'HVAC weighting'!$G$23,'HVAC weighting'!$G$24))*IFERROR(VLOOKUP(RIGHT('SC-NR'!$D80,4),'HVAC weighting'!$A$3:$C$8,MATCH('SC-NR'!$C80,'HVAC weighting'!$B$3:$C$3,0)+1,FALSE),1)</f>
        <v>1.2460189066028362E-2</v>
      </c>
      <c r="F80" s="29">
        <f ca="1">VLOOKUP($C80,$D$50:$Z$51,F$56+1,FALSE)*$D$65*$A80/8760/1000*IF($C80="Manufactured",IF(RIGHT($D80,4)&lt;&gt;"ered",'HVAC weighting'!$G$17,'HVAC weighting'!$G$18),IF(RIGHT($D80,4)&lt;&gt;"ered",'HVAC weighting'!$G$23,'HVAC weighting'!$G$24))*IFERROR(VLOOKUP(RIGHT('SC-NR'!$D80,4),'HVAC weighting'!$A$3:$C$8,MATCH('SC-NR'!$C80,'HVAC weighting'!$B$3:$C$3,0)+1,FALSE),1)</f>
        <v>3.1973679259154154E-2</v>
      </c>
      <c r="G80" s="29">
        <f ca="1">VLOOKUP($C80,$D$50:$Z$51,G$56+1,FALSE)*$D$65*$A80/8760/1000*IF($C80="Manufactured",IF(RIGHT($D80,4)&lt;&gt;"ered",'HVAC weighting'!$G$17,'HVAC weighting'!$G$18),IF(RIGHT($D80,4)&lt;&gt;"ered",'HVAC weighting'!$G$23,'HVAC weighting'!$G$24))*IFERROR(VLOOKUP(RIGHT('SC-NR'!$D80,4),'HVAC weighting'!$A$3:$C$8,MATCH('SC-NR'!$C80,'HVAC weighting'!$B$3:$C$3,0)+1,FALSE),1)</f>
        <v>7.0895892903136554E-2</v>
      </c>
      <c r="H80" s="29">
        <f ca="1">VLOOKUP($C80,$D$50:$Z$51,H$56+1,FALSE)*$D$65*$A80/8760/1000*IF($C80="Manufactured",IF(RIGHT($D80,4)&lt;&gt;"ered",'HVAC weighting'!$G$17,'HVAC weighting'!$G$18),IF(RIGHT($D80,4)&lt;&gt;"ered",'HVAC weighting'!$G$23,'HVAC weighting'!$G$24))*IFERROR(VLOOKUP(RIGHT('SC-NR'!$D80,4),'HVAC weighting'!$A$3:$C$8,MATCH('SC-NR'!$C80,'HVAC weighting'!$B$3:$C$3,0)+1,FALSE),1)</f>
        <v>0.13882087663514428</v>
      </c>
      <c r="I80" s="29">
        <f ca="1">VLOOKUP($C80,$D$50:$Z$51,I$56+1,FALSE)*$D$65*$A80/8760/1000*IF($C80="Manufactured",IF(RIGHT($D80,4)&lt;&gt;"ered",'HVAC weighting'!$G$17,'HVAC weighting'!$G$18),IF(RIGHT($D80,4)&lt;&gt;"ered",'HVAC weighting'!$G$23,'HVAC weighting'!$G$24))*IFERROR(VLOOKUP(RIGHT('SC-NR'!$D80,4),'HVAC weighting'!$A$3:$C$8,MATCH('SC-NR'!$C80,'HVAC weighting'!$B$3:$C$3,0)+1,FALSE),1)</f>
        <v>0.24417665614468453</v>
      </c>
      <c r="J80" s="29">
        <f ca="1">VLOOKUP($C80,$D$50:$Z$51,J$56+1,FALSE)*$D$65*$A80/8760/1000*IF($C80="Manufactured",IF(RIGHT($D80,4)&lt;&gt;"ered",'HVAC weighting'!$G$17,'HVAC weighting'!$G$18),IF(RIGHT($D80,4)&lt;&gt;"ered",'HVAC weighting'!$G$23,'HVAC weighting'!$G$24))*IFERROR(VLOOKUP(RIGHT('SC-NR'!$D80,4),'HVAC weighting'!$A$3:$C$8,MATCH('SC-NR'!$C80,'HVAC weighting'!$B$3:$C$3,0)+1,FALSE),1)</f>
        <v>0.39122566220484351</v>
      </c>
      <c r="K80" s="29">
        <f ca="1">VLOOKUP($C80,$D$50:$Z$51,K$56+1,FALSE)*$D$65*$A80/8760/1000*IF($C80="Manufactured",IF(RIGHT($D80,4)&lt;&gt;"ered",'HVAC weighting'!$G$17,'HVAC weighting'!$G$18),IF(RIGHT($D80,4)&lt;&gt;"ered",'HVAC weighting'!$G$23,'HVAC weighting'!$G$24))*IFERROR(VLOOKUP(RIGHT('SC-NR'!$D80,4),'HVAC weighting'!$A$3:$C$8,MATCH('SC-NR'!$C80,'HVAC weighting'!$B$3:$C$3,0)+1,FALSE),1)</f>
        <v>0.57776965944884739</v>
      </c>
      <c r="L80" s="29">
        <f ca="1">VLOOKUP($C80,$D$50:$Z$51,L$56+1,FALSE)*$D$65*$A80/8760/1000*IF($C80="Manufactured",IF(RIGHT($D80,4)&lt;&gt;"ered",'HVAC weighting'!$G$17,'HVAC weighting'!$G$18),IF(RIGHT($D80,4)&lt;&gt;"ered",'HVAC weighting'!$G$23,'HVAC weighting'!$G$24))*IFERROR(VLOOKUP(RIGHT('SC-NR'!$D80,4),'HVAC weighting'!$A$3:$C$8,MATCH('SC-NR'!$C80,'HVAC weighting'!$B$3:$C$3,0)+1,FALSE),1)</f>
        <v>0.79463223265085858</v>
      </c>
      <c r="M80" s="29">
        <f ca="1">VLOOKUP($C80,$D$50:$Z$51,M$56+1,FALSE)*$D$65*$A80/8760/1000*IF($C80="Manufactured",IF(RIGHT($D80,4)&lt;&gt;"ered",'HVAC weighting'!$G$17,'HVAC weighting'!$G$18),IF(RIGHT($D80,4)&lt;&gt;"ered",'HVAC weighting'!$G$23,'HVAC weighting'!$G$24))*IFERROR(VLOOKUP(RIGHT('SC-NR'!$D80,4),'HVAC weighting'!$A$3:$C$8,MATCH('SC-NR'!$C80,'HVAC weighting'!$B$3:$C$3,0)+1,FALSE),1)</f>
        <v>1.0272514805094133</v>
      </c>
      <c r="N80" s="29">
        <f ca="1">VLOOKUP($C80,$D$50:$Z$51,N$56+1,FALSE)*$D$65*$A80/8760/1000*IF($C80="Manufactured",IF(RIGHT($D80,4)&lt;&gt;"ered",'HVAC weighting'!$G$17,'HVAC weighting'!$G$18),IF(RIGHT($D80,4)&lt;&gt;"ered",'HVAC weighting'!$G$23,'HVAC weighting'!$G$24))*IFERROR(VLOOKUP(RIGHT('SC-NR'!$D80,4),'HVAC weighting'!$A$3:$C$8,MATCH('SC-NR'!$C80,'HVAC weighting'!$B$3:$C$3,0)+1,FALSE),1)</f>
        <v>1.2588101760114518</v>
      </c>
      <c r="O80" s="29">
        <f ca="1">VLOOKUP($C80,$D$50:$Z$51,O$56+1,FALSE)*$D$65*$A80/8760/1000*IF($C80="Manufactured",IF(RIGHT($D80,4)&lt;&gt;"ered",'HVAC weighting'!$G$17,'HVAC weighting'!$G$18),IF(RIGHT($D80,4)&lt;&gt;"ered",'HVAC weighting'!$G$23,'HVAC weighting'!$G$24))*IFERROR(VLOOKUP(RIGHT('SC-NR'!$D80,4),'HVAC weighting'!$A$3:$C$8,MATCH('SC-NR'!$C80,'HVAC weighting'!$B$3:$C$3,0)+1,FALSE),1)</f>
        <v>1.4737545867107942</v>
      </c>
      <c r="P80" s="29">
        <f ca="1">VLOOKUP($C80,$D$50:$Z$51,P$56+1,FALSE)*$D$65*$A80/8760/1000*IF($C80="Manufactured",IF(RIGHT($D80,4)&lt;&gt;"ered",'HVAC weighting'!$G$17,'HVAC weighting'!$G$18),IF(RIGHT($D80,4)&lt;&gt;"ered",'HVAC weighting'!$G$23,'HVAC weighting'!$G$24))*IFERROR(VLOOKUP(RIGHT('SC-NR'!$D80,4),'HVAC weighting'!$A$3:$C$8,MATCH('SC-NR'!$C80,'HVAC weighting'!$B$3:$C$3,0)+1,FALSE),1)</f>
        <v>1.6605527841022962</v>
      </c>
      <c r="Q80" s="29">
        <f ca="1">VLOOKUP($C80,$D$50:$Z$51,Q$56+1,FALSE)*$D$65*$A80/8760/1000*IF($C80="Manufactured",IF(RIGHT($D80,4)&lt;&gt;"ered",'HVAC weighting'!$G$17,'HVAC weighting'!$G$18),IF(RIGHT($D80,4)&lt;&gt;"ered",'HVAC weighting'!$G$23,'HVAC weighting'!$G$24))*IFERROR(VLOOKUP(RIGHT('SC-NR'!$D80,4),'HVAC weighting'!$A$3:$C$8,MATCH('SC-NR'!$C80,'HVAC weighting'!$B$3:$C$3,0)+1,FALSE),1)</f>
        <v>1.8130162627020754</v>
      </c>
      <c r="R80" s="29">
        <f ca="1">VLOOKUP($C80,$D$50:$Z$51,R$56+1,FALSE)*$D$65*$A80/8760/1000*IF($C80="Manufactured",IF(RIGHT($D80,4)&lt;&gt;"ered",'HVAC weighting'!$G$17,'HVAC weighting'!$G$18),IF(RIGHT($D80,4)&lt;&gt;"ered",'HVAC weighting'!$G$23,'HVAC weighting'!$G$24))*IFERROR(VLOOKUP(RIGHT('SC-NR'!$D80,4),'HVAC weighting'!$A$3:$C$8,MATCH('SC-NR'!$C80,'HVAC weighting'!$B$3:$C$3,0)+1,FALSE),1)</f>
        <v>2.3138279213549748</v>
      </c>
      <c r="S80" s="29">
        <f ca="1">VLOOKUP($C80,$D$50:$Z$51,S$56+1,FALSE)*$D$65*$A80/8760/1000*IF($C80="Manufactured",IF(RIGHT($D80,4)&lt;&gt;"ered",'HVAC weighting'!$G$17,'HVAC weighting'!$G$18),IF(RIGHT($D80,4)&lt;&gt;"ered",'HVAC weighting'!$G$23,'HVAC weighting'!$G$24))*IFERROR(VLOOKUP(RIGHT('SC-NR'!$D80,4),'HVAC weighting'!$A$3:$C$8,MATCH('SC-NR'!$C80,'HVAC weighting'!$B$3:$C$3,0)+1,FALSE),1)</f>
        <v>2.3961846833461697</v>
      </c>
      <c r="T80" s="29">
        <f ca="1">VLOOKUP($C80,$D$50:$Z$51,T$56+1,FALSE)*$D$65*$A80/8760/1000*IF($C80="Manufactured",IF(RIGHT($D80,4)&lt;&gt;"ered",'HVAC weighting'!$G$17,'HVAC weighting'!$G$18),IF(RIGHT($D80,4)&lt;&gt;"ered",'HVAC weighting'!$G$23,'HVAC weighting'!$G$24))*IFERROR(VLOOKUP(RIGHT('SC-NR'!$D80,4),'HVAC weighting'!$A$3:$C$8,MATCH('SC-NR'!$C80,'HVAC weighting'!$B$3:$C$3,0)+1,FALSE),1)</f>
        <v>2.4398732487696124</v>
      </c>
      <c r="U80" s="29">
        <f ca="1">VLOOKUP($C80,$D$50:$Z$51,U$56+1,FALSE)*$D$65*$A80/8760/1000*IF($C80="Manufactured",IF(RIGHT($D80,4)&lt;&gt;"ered",'HVAC weighting'!$G$17,'HVAC weighting'!$G$18),IF(RIGHT($D80,4)&lt;&gt;"ered",'HVAC weighting'!$G$23,'HVAC weighting'!$G$24))*IFERROR(VLOOKUP(RIGHT('SC-NR'!$D80,4),'HVAC weighting'!$A$3:$C$8,MATCH('SC-NR'!$C80,'HVAC weighting'!$B$3:$C$3,0)+1,FALSE),1)</f>
        <v>2.4626073849805206</v>
      </c>
      <c r="V80" s="29">
        <f ca="1">VLOOKUP($C80,$D$50:$Z$51,V$56+1,FALSE)*$D$65*$A80/8760/1000*IF($C80="Manufactured",IF(RIGHT($D80,4)&lt;&gt;"ered",'HVAC weighting'!$G$17,'HVAC weighting'!$G$18),IF(RIGHT($D80,4)&lt;&gt;"ered",'HVAC weighting'!$G$23,'HVAC weighting'!$G$24))*IFERROR(VLOOKUP(RIGHT('SC-NR'!$D80,4),'HVAC weighting'!$A$3:$C$8,MATCH('SC-NR'!$C80,'HVAC weighting'!$B$3:$C$3,0)+1,FALSE),1)</f>
        <v>2.4649094196905117</v>
      </c>
      <c r="W80" s="29">
        <f ca="1">VLOOKUP($C80,$D$50:$Z$51,W$56+1,FALSE)*$D$65*$A80/8760/1000*IF($C80="Manufactured",IF(RIGHT($D80,4)&lt;&gt;"ered",'HVAC weighting'!$G$17,'HVAC weighting'!$G$18),IF(RIGHT($D80,4)&lt;&gt;"ered",'HVAC weighting'!$G$23,'HVAC weighting'!$G$24))*IFERROR(VLOOKUP(RIGHT('SC-NR'!$D80,4),'HVAC weighting'!$A$3:$C$8,MATCH('SC-NR'!$C80,'HVAC weighting'!$B$3:$C$3,0)+1,FALSE),1)</f>
        <v>2.4438457044327975</v>
      </c>
      <c r="X80" s="29">
        <f ca="1">VLOOKUP($C80,$D$50:$Z$51,X$56+1,FALSE)*$D$65*$A80/8760/1000*IF($C80="Manufactured",IF(RIGHT($D80,4)&lt;&gt;"ered",'HVAC weighting'!$G$17,'HVAC weighting'!$G$18),IF(RIGHT($D80,4)&lt;&gt;"ered",'HVAC weighting'!$G$23,'HVAC weighting'!$G$24))*IFERROR(VLOOKUP(RIGHT('SC-NR'!$D80,4),'HVAC weighting'!$A$3:$C$8,MATCH('SC-NR'!$C80,'HVAC weighting'!$B$3:$C$3,0)+1,FALSE),1)</f>
        <v>2.4177622520181785</v>
      </c>
      <c r="Y80" s="29">
        <f ca="1">(VLOOKUP($C80,$D$37:$Z$38,$X$56+3,FALSE)+VLOOKUP($C80,$D$43:$Z$44,$X$56+3,FALSE))*$A80*$D$65/8760/1000*IF($C80="Manufactured",IF(RIGHT($D80,4)&lt;&gt;"ered",'HVAC weighting'!$G$17,'HVAC weighting'!$G$18),IF(RIGHT($D80,4)&lt;&gt;"ered",'HVAC weighting'!$G$23,'HVAC weighting'!$G$24))*IFERROR(VLOOKUP(RIGHT('SC-NR'!$D80,4),'HVAC weighting'!$A$3:$C$8,MATCH('SC-NR'!$C80,'HVAC weighting'!$B$3:$C$3,0)+1,FALSE),1)</f>
        <v>30.557569629096591</v>
      </c>
      <c r="AA80" s="29">
        <f t="shared" ca="1" si="28"/>
        <v>26.434350752941487</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A81" s="58">
        <f t="shared" si="25"/>
        <v>87.931784673528639</v>
      </c>
      <c r="B81" s="58">
        <f t="shared" si="26"/>
        <v>1607.3377066669348</v>
      </c>
      <c r="C81" s="7" t="str">
        <f t="shared" si="27"/>
        <v>Manufactured</v>
      </c>
      <c r="D81" s="7" t="s">
        <v>490</v>
      </c>
      <c r="E81" s="29">
        <f ca="1">VLOOKUP($C81,$D$50:$Z$51,E$56+1,FALSE)*$D$65*$A81/8760/1000*IF($C81="Manufactured",IF(RIGHT($D81,4)&lt;&gt;"ered",'HVAC weighting'!$G$17,'HVAC weighting'!$G$18),IF(RIGHT($D81,4)&lt;&gt;"ered",'HVAC weighting'!$G$23,'HVAC weighting'!$G$24))*IFERROR(VLOOKUP(RIGHT('SC-NR'!$D81,4),'HVAC weighting'!$A$3:$C$8,MATCH('SC-NR'!$C81,'HVAC weighting'!$B$3:$C$3,0)+1,FALSE),1)</f>
        <v>4.1500966009854613E-5</v>
      </c>
      <c r="F81" s="29">
        <f ca="1">VLOOKUP($C81,$D$50:$Z$51,F$56+1,FALSE)*$D$65*$A81/8760/1000*IF($C81="Manufactured",IF(RIGHT($D81,4)&lt;&gt;"ered",'HVAC weighting'!$G$17,'HVAC weighting'!$G$18),IF(RIGHT($D81,4)&lt;&gt;"ered",'HVAC weighting'!$G$23,'HVAC weighting'!$G$24))*IFERROR(VLOOKUP(RIGHT('SC-NR'!$D81,4),'HVAC weighting'!$A$3:$C$8,MATCH('SC-NR'!$C81,'HVAC weighting'!$B$3:$C$3,0)+1,FALSE),1)</f>
        <v>1.0559593955916435E-4</v>
      </c>
      <c r="G81" s="29">
        <f ca="1">VLOOKUP($C81,$D$50:$Z$51,G$56+1,FALSE)*$D$65*$A81/8760/1000*IF($C81="Manufactured",IF(RIGHT($D81,4)&lt;&gt;"ered",'HVAC weighting'!$G$17,'HVAC weighting'!$G$18),IF(RIGHT($D81,4)&lt;&gt;"ered",'HVAC weighting'!$G$23,'HVAC weighting'!$G$24))*IFERROR(VLOOKUP(RIGHT('SC-NR'!$D81,4),'HVAC weighting'!$A$3:$C$8,MATCH('SC-NR'!$C81,'HVAC weighting'!$B$3:$C$3,0)+1,FALSE),1)</f>
        <v>2.3216498078345842E-4</v>
      </c>
      <c r="H81" s="29">
        <f ca="1">VLOOKUP($C81,$D$50:$Z$51,H$56+1,FALSE)*$D$65*$A81/8760/1000*IF($C81="Manufactured",IF(RIGHT($D81,4)&lt;&gt;"ered",'HVAC weighting'!$G$17,'HVAC weighting'!$G$18),IF(RIGHT($D81,4)&lt;&gt;"ered",'HVAC weighting'!$G$23,'HVAC weighting'!$G$24))*IFERROR(VLOOKUP(RIGHT('SC-NR'!$D81,4),'HVAC weighting'!$A$3:$C$8,MATCH('SC-NR'!$C81,'HVAC weighting'!$B$3:$C$3,0)+1,FALSE),1)</f>
        <v>4.5076630971461568E-4</v>
      </c>
      <c r="I81" s="29">
        <f ca="1">VLOOKUP($C81,$D$50:$Z$51,I$56+1,FALSE)*$D$65*$A81/8760/1000*IF($C81="Manufactured",IF(RIGHT($D81,4)&lt;&gt;"ered",'HVAC weighting'!$G$17,'HVAC weighting'!$G$18),IF(RIGHT($D81,4)&lt;&gt;"ered",'HVAC weighting'!$G$23,'HVAC weighting'!$G$24))*IFERROR(VLOOKUP(RIGHT('SC-NR'!$D81,4),'HVAC weighting'!$A$3:$C$8,MATCH('SC-NR'!$C81,'HVAC weighting'!$B$3:$C$3,0)+1,FALSE),1)</f>
        <v>7.8617972576893347E-4</v>
      </c>
      <c r="J81" s="29">
        <f ca="1">VLOOKUP($C81,$D$50:$Z$51,J$56+1,FALSE)*$D$65*$A81/8760/1000*IF($C81="Manufactured",IF(RIGHT($D81,4)&lt;&gt;"ered",'HVAC weighting'!$G$17,'HVAC weighting'!$G$18),IF(RIGHT($D81,4)&lt;&gt;"ered",'HVAC weighting'!$G$23,'HVAC weighting'!$G$24))*IFERROR(VLOOKUP(RIGHT('SC-NR'!$D81,4),'HVAC weighting'!$A$3:$C$8,MATCH('SC-NR'!$C81,'HVAC weighting'!$B$3:$C$3,0)+1,FALSE),1)</f>
        <v>1.2490104249989072E-3</v>
      </c>
      <c r="K81" s="29">
        <f ca="1">VLOOKUP($C81,$D$50:$Z$51,K$56+1,FALSE)*$D$65*$A81/8760/1000*IF($C81="Manufactured",IF(RIGHT($D81,4)&lt;&gt;"ered",'HVAC weighting'!$G$17,'HVAC weighting'!$G$18),IF(RIGHT($D81,4)&lt;&gt;"ered",'HVAC weighting'!$G$23,'HVAC weighting'!$G$24))*IFERROR(VLOOKUP(RIGHT('SC-NR'!$D81,4),'HVAC weighting'!$A$3:$C$8,MATCH('SC-NR'!$C81,'HVAC weighting'!$B$3:$C$3,0)+1,FALSE),1)</f>
        <v>1.8290033120182277E-3</v>
      </c>
      <c r="L81" s="29">
        <f ca="1">VLOOKUP($C81,$D$50:$Z$51,L$56+1,FALSE)*$D$65*$A81/8760/1000*IF($C81="Manufactured",IF(RIGHT($D81,4)&lt;&gt;"ered",'HVAC weighting'!$G$17,'HVAC weighting'!$G$18),IF(RIGHT($D81,4)&lt;&gt;"ered",'HVAC weighting'!$G$23,'HVAC weighting'!$G$24))*IFERROR(VLOOKUP(RIGHT('SC-NR'!$D81,4),'HVAC weighting'!$A$3:$C$8,MATCH('SC-NR'!$C81,'HVAC weighting'!$B$3:$C$3,0)+1,FALSE),1)</f>
        <v>2.4942901313144495E-3</v>
      </c>
      <c r="M81" s="29">
        <f ca="1">VLOOKUP($C81,$D$50:$Z$51,M$56+1,FALSE)*$D$65*$A81/8760/1000*IF($C81="Manufactured",IF(RIGHT($D81,4)&lt;&gt;"ered",'HVAC weighting'!$G$17,'HVAC weighting'!$G$18),IF(RIGHT($D81,4)&lt;&gt;"ered",'HVAC weighting'!$G$23,'HVAC weighting'!$G$24))*IFERROR(VLOOKUP(RIGHT('SC-NR'!$D81,4),'HVAC weighting'!$A$3:$C$8,MATCH('SC-NR'!$C81,'HVAC weighting'!$B$3:$C$3,0)+1,FALSE),1)</f>
        <v>3.1972647382927794E-3</v>
      </c>
      <c r="N81" s="29">
        <f ca="1">VLOOKUP($C81,$D$50:$Z$51,N$56+1,FALSE)*$D$65*$A81/8760/1000*IF($C81="Manufactured",IF(RIGHT($D81,4)&lt;&gt;"ered",'HVAC weighting'!$G$17,'HVAC weighting'!$G$18),IF(RIGHT($D81,4)&lt;&gt;"ered",'HVAC weighting'!$G$23,'HVAC weighting'!$G$24))*IFERROR(VLOOKUP(RIGHT('SC-NR'!$D81,4),'HVAC weighting'!$A$3:$C$8,MATCH('SC-NR'!$C81,'HVAC weighting'!$B$3:$C$3,0)+1,FALSE),1)</f>
        <v>3.8849291079673868E-3</v>
      </c>
      <c r="O81" s="29">
        <f ca="1">VLOOKUP($C81,$D$50:$Z$51,O$56+1,FALSE)*$D$65*$A81/8760/1000*IF($C81="Manufactured",IF(RIGHT($D81,4)&lt;&gt;"ered",'HVAC weighting'!$G$17,'HVAC weighting'!$G$18),IF(RIGHT($D81,4)&lt;&gt;"ered",'HVAC weighting'!$G$23,'HVAC weighting'!$G$24))*IFERROR(VLOOKUP(RIGHT('SC-NR'!$D81,4),'HVAC weighting'!$A$3:$C$8,MATCH('SC-NR'!$C81,'HVAC weighting'!$B$3:$C$3,0)+1,FALSE),1)</f>
        <v>4.5099222416987916E-3</v>
      </c>
      <c r="P81" s="29">
        <f ca="1">VLOOKUP($C81,$D$50:$Z$51,P$56+1,FALSE)*$D$65*$A81/8760/1000*IF($C81="Manufactured",IF(RIGHT($D81,4)&lt;&gt;"ered",'HVAC weighting'!$G$17,'HVAC weighting'!$G$18),IF(RIGHT($D81,4)&lt;&gt;"ered",'HVAC weighting'!$G$23,'HVAC weighting'!$G$24))*IFERROR(VLOOKUP(RIGHT('SC-NR'!$D81,4),'HVAC weighting'!$A$3:$C$8,MATCH('SC-NR'!$C81,'HVAC weighting'!$B$3:$C$3,0)+1,FALSE),1)</f>
        <v>5.0386895446722126E-3</v>
      </c>
      <c r="Q81" s="29">
        <f ca="1">VLOOKUP($C81,$D$50:$Z$51,Q$56+1,FALSE)*$D$65*$A81/8760/1000*IF($C81="Manufactured",IF(RIGHT($D81,4)&lt;&gt;"ered",'HVAC weighting'!$G$17,'HVAC weighting'!$G$18),IF(RIGHT($D81,4)&lt;&gt;"ered",'HVAC weighting'!$G$23,'HVAC weighting'!$G$24))*IFERROR(VLOOKUP(RIGHT('SC-NR'!$D81,4),'HVAC weighting'!$A$3:$C$8,MATCH('SC-NR'!$C81,'HVAC weighting'!$B$3:$C$3,0)+1,FALSE),1)</f>
        <v>5.4549107097863134E-3</v>
      </c>
      <c r="R81" s="29">
        <f ca="1">VLOOKUP($C81,$D$50:$Z$51,R$56+1,FALSE)*$D$65*$A81/8760/1000*IF($C81="Manufactured",IF(RIGHT($D81,4)&lt;&gt;"ered",'HVAC weighting'!$G$17,'HVAC weighting'!$G$18),IF(RIGHT($D81,4)&lt;&gt;"ered",'HVAC weighting'!$G$23,'HVAC weighting'!$G$24))*IFERROR(VLOOKUP(RIGHT('SC-NR'!$D81,4),'HVAC weighting'!$A$3:$C$8,MATCH('SC-NR'!$C81,'HVAC weighting'!$B$3:$C$3,0)+1,FALSE),1)</f>
        <v>6.0384069782218452E-3</v>
      </c>
      <c r="S81" s="29">
        <f ca="1">VLOOKUP($C81,$D$50:$Z$51,S$56+1,FALSE)*$D$65*$A81/8760/1000*IF($C81="Manufactured",IF(RIGHT($D81,4)&lt;&gt;"ered",'HVAC weighting'!$G$17,'HVAC weighting'!$G$18),IF(RIGHT($D81,4)&lt;&gt;"ered",'HVAC weighting'!$G$23,'HVAC weighting'!$G$24))*IFERROR(VLOOKUP(RIGHT('SC-NR'!$D81,4),'HVAC weighting'!$A$3:$C$8,MATCH('SC-NR'!$C81,'HVAC weighting'!$B$3:$C$3,0)+1,FALSE),1)</f>
        <v>6.2533359722157953E-3</v>
      </c>
      <c r="T81" s="29">
        <f ca="1">VLOOKUP($C81,$D$50:$Z$51,T$56+1,FALSE)*$D$65*$A81/8760/1000*IF($C81="Manufactured",IF(RIGHT($D81,4)&lt;&gt;"ered",'HVAC weighting'!$G$17,'HVAC weighting'!$G$18),IF(RIGHT($D81,4)&lt;&gt;"ered",'HVAC weighting'!$G$23,'HVAC weighting'!$G$24))*IFERROR(VLOOKUP(RIGHT('SC-NR'!$D81,4),'HVAC weighting'!$A$3:$C$8,MATCH('SC-NR'!$C81,'HVAC weighting'!$B$3:$C$3,0)+1,FALSE),1)</f>
        <v>6.3876640118640891E-3</v>
      </c>
      <c r="U81" s="29">
        <f ca="1">VLOOKUP($C81,$D$50:$Z$51,U$56+1,FALSE)*$D$65*$A81/8760/1000*IF($C81="Manufactured",IF(RIGHT($D81,4)&lt;&gt;"ered",'HVAC weighting'!$G$17,'HVAC weighting'!$G$18),IF(RIGHT($D81,4)&lt;&gt;"ered",'HVAC weighting'!$G$23,'HVAC weighting'!$G$24))*IFERROR(VLOOKUP(RIGHT('SC-NR'!$D81,4),'HVAC weighting'!$A$3:$C$8,MATCH('SC-NR'!$C81,'HVAC weighting'!$B$3:$C$3,0)+1,FALSE),1)</f>
        <v>6.4526999095312117E-3</v>
      </c>
      <c r="V81" s="29">
        <f ca="1">VLOOKUP($C81,$D$50:$Z$51,V$56+1,FALSE)*$D$65*$A81/8760/1000*IF($C81="Manufactured",IF(RIGHT($D81,4)&lt;&gt;"ered",'HVAC weighting'!$G$17,'HVAC weighting'!$G$18),IF(RIGHT($D81,4)&lt;&gt;"ered",'HVAC weighting'!$G$23,'HVAC weighting'!$G$24))*IFERROR(VLOOKUP(RIGHT('SC-NR'!$D81,4),'HVAC weighting'!$A$3:$C$8,MATCH('SC-NR'!$C81,'HVAC weighting'!$B$3:$C$3,0)+1,FALSE),1)</f>
        <v>6.444543855726354E-3</v>
      </c>
      <c r="W81" s="29">
        <f ca="1">VLOOKUP($C81,$D$50:$Z$51,W$56+1,FALSE)*$D$65*$A81/8760/1000*IF($C81="Manufactured",IF(RIGHT($D81,4)&lt;&gt;"ered",'HVAC weighting'!$G$17,'HVAC weighting'!$G$18),IF(RIGHT($D81,4)&lt;&gt;"ered",'HVAC weighting'!$G$23,'HVAC weighting'!$G$24))*IFERROR(VLOOKUP(RIGHT('SC-NR'!$D81,4),'HVAC weighting'!$A$3:$C$8,MATCH('SC-NR'!$C81,'HVAC weighting'!$B$3:$C$3,0)+1,FALSE),1)</f>
        <v>6.4045802221731653E-3</v>
      </c>
      <c r="X81" s="29">
        <f ca="1">VLOOKUP($C81,$D$50:$Z$51,X$56+1,FALSE)*$D$65*$A81/8760/1000*IF($C81="Manufactured",IF(RIGHT($D81,4)&lt;&gt;"ered",'HVAC weighting'!$G$17,'HVAC weighting'!$G$18),IF(RIGHT($D81,4)&lt;&gt;"ered",'HVAC weighting'!$G$23,'HVAC weighting'!$G$24))*IFERROR(VLOOKUP(RIGHT('SC-NR'!$D81,4),'HVAC weighting'!$A$3:$C$8,MATCH('SC-NR'!$C81,'HVAC weighting'!$B$3:$C$3,0)+1,FALSE),1)</f>
        <v>6.3452557899878626E-3</v>
      </c>
      <c r="Y81" s="29">
        <f ca="1">(VLOOKUP($C81,$D$37:$Z$38,$X$56+3,FALSE)+VLOOKUP($C81,$D$43:$Z$44,$X$56+3,FALSE))*$A81*$D$65/8760/1000*IF($C81="Manufactured",IF(RIGHT($D81,4)&lt;&gt;"ered",'HVAC weighting'!$G$17,'HVAC weighting'!$G$18),IF(RIGHT($D81,4)&lt;&gt;"ered",'HVAC weighting'!$G$23,'HVAC weighting'!$G$24))*IFERROR(VLOOKUP(RIGHT('SC-NR'!$D81,4),'HVAC weighting'!$A$3:$C$8,MATCH('SC-NR'!$C81,'HVAC weighting'!$B$3:$C$3,0)+1,FALSE),1)</f>
        <v>8.1649337638457983E-2</v>
      </c>
      <c r="AA81" s="29">
        <f t="shared" ca="1" si="28"/>
        <v>7.360071487230542E-2</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A82" s="58">
        <f t="shared" si="25"/>
        <v>86.718840456148499</v>
      </c>
      <c r="B82" s="58">
        <f t="shared" si="26"/>
        <v>1630.5015291600657</v>
      </c>
      <c r="C82" s="7" t="str">
        <f t="shared" si="27"/>
        <v>Single Family</v>
      </c>
      <c r="D82" s="7" t="s">
        <v>479</v>
      </c>
      <c r="E82" s="29">
        <f ca="1">VLOOKUP($C82,$D$50:$Z$51,E$56+1,FALSE)*$D$65*$A82/8760/1000*IF($C82="Manufactured",IF(RIGHT($D82,4)&lt;&gt;"ered",'HVAC weighting'!$G$17,'HVAC weighting'!$G$18),IF(RIGHT($D82,4)&lt;&gt;"ered",'HVAC weighting'!$G$23,'HVAC weighting'!$G$24))*IFERROR(VLOOKUP(RIGHT('SC-NR'!$D82,4),'HVAC weighting'!$A$3:$C$8,MATCH('SC-NR'!$C82,'HVAC weighting'!$B$3:$C$3,0)+1,FALSE),1)</f>
        <v>6.098492294760795E-4</v>
      </c>
      <c r="F82" s="29">
        <f ca="1">VLOOKUP($C82,$D$50:$Z$51,F$56+1,FALSE)*$D$65*$A82/8760/1000*IF($C82="Manufactured",IF(RIGHT($D82,4)&lt;&gt;"ered",'HVAC weighting'!$G$17,'HVAC weighting'!$G$18),IF(RIGHT($D82,4)&lt;&gt;"ered",'HVAC weighting'!$G$23,'HVAC weighting'!$G$24))*IFERROR(VLOOKUP(RIGHT('SC-NR'!$D82,4),'HVAC weighting'!$A$3:$C$8,MATCH('SC-NR'!$C82,'HVAC weighting'!$B$3:$C$3,0)+1,FALSE),1)</f>
        <v>1.564913947644114E-3</v>
      </c>
      <c r="G82" s="29">
        <f ca="1">VLOOKUP($C82,$D$50:$Z$51,G$56+1,FALSE)*$D$65*$A82/8760/1000*IF($C82="Manufactured",IF(RIGHT($D82,4)&lt;&gt;"ered",'HVAC weighting'!$G$17,'HVAC weighting'!$G$18),IF(RIGHT($D82,4)&lt;&gt;"ered",'HVAC weighting'!$G$23,'HVAC weighting'!$G$24))*IFERROR(VLOOKUP(RIGHT('SC-NR'!$D82,4),'HVAC weighting'!$A$3:$C$8,MATCH('SC-NR'!$C82,'HVAC weighting'!$B$3:$C$3,0)+1,FALSE),1)</f>
        <v>3.469915699583982E-3</v>
      </c>
      <c r="H82" s="29">
        <f ca="1">VLOOKUP($C82,$D$50:$Z$51,H$56+1,FALSE)*$D$65*$A82/8760/1000*IF($C82="Manufactured",IF(RIGHT($D82,4)&lt;&gt;"ered",'HVAC weighting'!$G$17,'HVAC weighting'!$G$18),IF(RIGHT($D82,4)&lt;&gt;"ered",'HVAC weighting'!$G$23,'HVAC weighting'!$G$24))*IFERROR(VLOOKUP(RIGHT('SC-NR'!$D82,4),'HVAC weighting'!$A$3:$C$8,MATCH('SC-NR'!$C82,'HVAC weighting'!$B$3:$C$3,0)+1,FALSE),1)</f>
        <v>6.7944237605474488E-3</v>
      </c>
      <c r="I82" s="29">
        <f ca="1">VLOOKUP($C82,$D$50:$Z$51,I$56+1,FALSE)*$D$65*$A82/8760/1000*IF($C82="Manufactured",IF(RIGHT($D82,4)&lt;&gt;"ered",'HVAC weighting'!$G$17,'HVAC weighting'!$G$18),IF(RIGHT($D82,4)&lt;&gt;"ered",'HVAC weighting'!$G$23,'HVAC weighting'!$G$24))*IFERROR(VLOOKUP(RIGHT('SC-NR'!$D82,4),'HVAC weighting'!$A$3:$C$8,MATCH('SC-NR'!$C82,'HVAC weighting'!$B$3:$C$3,0)+1,FALSE),1)</f>
        <v>1.1950937888404472E-2</v>
      </c>
      <c r="J82" s="29">
        <f ca="1">VLOOKUP($C82,$D$50:$Z$51,J$56+1,FALSE)*$D$65*$A82/8760/1000*IF($C82="Manufactured",IF(RIGHT($D82,4)&lt;&gt;"ered",'HVAC weighting'!$G$17,'HVAC weighting'!$G$18),IF(RIGHT($D82,4)&lt;&gt;"ered",'HVAC weighting'!$G$23,'HVAC weighting'!$G$24))*IFERROR(VLOOKUP(RIGHT('SC-NR'!$D82,4),'HVAC weighting'!$A$3:$C$8,MATCH('SC-NR'!$C82,'HVAC weighting'!$B$3:$C$3,0)+1,FALSE),1)</f>
        <v>1.9148077720376196E-2</v>
      </c>
      <c r="K82" s="29">
        <f ca="1">VLOOKUP($C82,$D$50:$Z$51,K$56+1,FALSE)*$D$65*$A82/8760/1000*IF($C82="Manufactured",IF(RIGHT($D82,4)&lt;&gt;"ered",'HVAC weighting'!$G$17,'HVAC weighting'!$G$18),IF(RIGHT($D82,4)&lt;&gt;"ered",'HVAC weighting'!$G$23,'HVAC weighting'!$G$24))*IFERROR(VLOOKUP(RIGHT('SC-NR'!$D82,4),'HVAC weighting'!$A$3:$C$8,MATCH('SC-NR'!$C82,'HVAC weighting'!$B$3:$C$3,0)+1,FALSE),1)</f>
        <v>2.8278253224118005E-2</v>
      </c>
      <c r="L82" s="29">
        <f ca="1">VLOOKUP($C82,$D$50:$Z$51,L$56+1,FALSE)*$D$65*$A82/8760/1000*IF($C82="Manufactured",IF(RIGHT($D82,4)&lt;&gt;"ered",'HVAC weighting'!$G$17,'HVAC weighting'!$G$18),IF(RIGHT($D82,4)&lt;&gt;"ered",'HVAC weighting'!$G$23,'HVAC weighting'!$G$24))*IFERROR(VLOOKUP(RIGHT('SC-NR'!$D82,4),'HVAC weighting'!$A$3:$C$8,MATCH('SC-NR'!$C82,'HVAC weighting'!$B$3:$C$3,0)+1,FALSE),1)</f>
        <v>3.8892335600285481E-2</v>
      </c>
      <c r="M82" s="29">
        <f ca="1">VLOOKUP($C82,$D$50:$Z$51,M$56+1,FALSE)*$D$65*$A82/8760/1000*IF($C82="Manufactured",IF(RIGHT($D82,4)&lt;&gt;"ered",'HVAC weighting'!$G$17,'HVAC weighting'!$G$18),IF(RIGHT($D82,4)&lt;&gt;"ered",'HVAC weighting'!$G$23,'HVAC weighting'!$G$24))*IFERROR(VLOOKUP(RIGHT('SC-NR'!$D82,4),'HVAC weighting'!$A$3:$C$8,MATCH('SC-NR'!$C82,'HVAC weighting'!$B$3:$C$3,0)+1,FALSE),1)</f>
        <v>5.0277609797658725E-2</v>
      </c>
      <c r="N82" s="29">
        <f ca="1">VLOOKUP($C82,$D$50:$Z$51,N$56+1,FALSE)*$D$65*$A82/8760/1000*IF($C82="Manufactured",IF(RIGHT($D82,4)&lt;&gt;"ered",'HVAC weighting'!$G$17,'HVAC weighting'!$G$18),IF(RIGHT($D82,4)&lt;&gt;"ered",'HVAC weighting'!$G$23,'HVAC weighting'!$G$24))*IFERROR(VLOOKUP(RIGHT('SC-NR'!$D82,4),'HVAC weighting'!$A$3:$C$8,MATCH('SC-NR'!$C82,'HVAC weighting'!$B$3:$C$3,0)+1,FALSE),1)</f>
        <v>6.1610976513210187E-2</v>
      </c>
      <c r="O82" s="29">
        <f ca="1">VLOOKUP($C82,$D$50:$Z$51,O$56+1,FALSE)*$D$65*$A82/8760/1000*IF($C82="Manufactured",IF(RIGHT($D82,4)&lt;&gt;"ered",'HVAC weighting'!$G$17,'HVAC weighting'!$G$18),IF(RIGHT($D82,4)&lt;&gt;"ered",'HVAC weighting'!$G$23,'HVAC weighting'!$G$24))*IFERROR(VLOOKUP(RIGHT('SC-NR'!$D82,4),'HVAC weighting'!$A$3:$C$8,MATCH('SC-NR'!$C82,'HVAC weighting'!$B$3:$C$3,0)+1,FALSE),1)</f>
        <v>7.21311766924011E-2</v>
      </c>
      <c r="P82" s="29">
        <f ca="1">VLOOKUP($C82,$D$50:$Z$51,P$56+1,FALSE)*$D$65*$A82/8760/1000*IF($C82="Manufactured",IF(RIGHT($D82,4)&lt;&gt;"ered",'HVAC weighting'!$G$17,'HVAC weighting'!$G$18),IF(RIGHT($D82,4)&lt;&gt;"ered",'HVAC weighting'!$G$23,'HVAC weighting'!$G$24))*IFERROR(VLOOKUP(RIGHT('SC-NR'!$D82,4),'HVAC weighting'!$A$3:$C$8,MATCH('SC-NR'!$C82,'HVAC weighting'!$B$3:$C$3,0)+1,FALSE),1)</f>
        <v>8.1273793721970716E-2</v>
      </c>
      <c r="Q82" s="29">
        <f ca="1">VLOOKUP($C82,$D$50:$Z$51,Q$56+1,FALSE)*$D$65*$A82/8760/1000*IF($C82="Manufactured",IF(RIGHT($D82,4)&lt;&gt;"ered",'HVAC weighting'!$G$17,'HVAC weighting'!$G$18),IF(RIGHT($D82,4)&lt;&gt;"ered",'HVAC weighting'!$G$23,'HVAC weighting'!$G$24))*IFERROR(VLOOKUP(RIGHT('SC-NR'!$D82,4),'HVAC weighting'!$A$3:$C$8,MATCH('SC-NR'!$C82,'HVAC weighting'!$B$3:$C$3,0)+1,FALSE),1)</f>
        <v>8.8735938514044474E-2</v>
      </c>
      <c r="R82" s="29">
        <f ca="1">VLOOKUP($C82,$D$50:$Z$51,R$56+1,FALSE)*$D$65*$A82/8760/1000*IF($C82="Manufactured",IF(RIGHT($D82,4)&lt;&gt;"ered",'HVAC weighting'!$G$17,'HVAC weighting'!$G$18),IF(RIGHT($D82,4)&lt;&gt;"ered",'HVAC weighting'!$G$23,'HVAC weighting'!$G$24))*IFERROR(VLOOKUP(RIGHT('SC-NR'!$D82,4),'HVAC weighting'!$A$3:$C$8,MATCH('SC-NR'!$C82,'HVAC weighting'!$B$3:$C$3,0)+1,FALSE),1)</f>
        <v>0.1132475733314333</v>
      </c>
      <c r="S82" s="29">
        <f ca="1">VLOOKUP($C82,$D$50:$Z$51,S$56+1,FALSE)*$D$65*$A82/8760/1000*IF($C82="Manufactured",IF(RIGHT($D82,4)&lt;&gt;"ered",'HVAC weighting'!$G$17,'HVAC weighting'!$G$18),IF(RIGHT($D82,4)&lt;&gt;"ered",'HVAC weighting'!$G$23,'HVAC weighting'!$G$24))*IFERROR(VLOOKUP(RIGHT('SC-NR'!$D82,4),'HVAC weighting'!$A$3:$C$8,MATCH('SC-NR'!$C82,'HVAC weighting'!$B$3:$C$3,0)+1,FALSE),1)</f>
        <v>0.11727842772508046</v>
      </c>
      <c r="T82" s="29">
        <f ca="1">VLOOKUP($C82,$D$50:$Z$51,T$56+1,FALSE)*$D$65*$A82/8760/1000*IF($C82="Manufactured",IF(RIGHT($D82,4)&lt;&gt;"ered",'HVAC weighting'!$G$17,'HVAC weighting'!$G$18),IF(RIGHT($D82,4)&lt;&gt;"ered",'HVAC weighting'!$G$23,'HVAC weighting'!$G$24))*IFERROR(VLOOKUP(RIGHT('SC-NR'!$D82,4),'HVAC weighting'!$A$3:$C$8,MATCH('SC-NR'!$C82,'HVAC weighting'!$B$3:$C$3,0)+1,FALSE),1)</f>
        <v>0.11941671293240871</v>
      </c>
      <c r="U82" s="29">
        <f ca="1">VLOOKUP($C82,$D$50:$Z$51,U$56+1,FALSE)*$D$65*$A82/8760/1000*IF($C82="Manufactured",IF(RIGHT($D82,4)&lt;&gt;"ered",'HVAC weighting'!$G$17,'HVAC weighting'!$G$18),IF(RIGHT($D82,4)&lt;&gt;"ered",'HVAC weighting'!$G$23,'HVAC weighting'!$G$24))*IFERROR(VLOOKUP(RIGHT('SC-NR'!$D82,4),'HVAC weighting'!$A$3:$C$8,MATCH('SC-NR'!$C82,'HVAC weighting'!$B$3:$C$3,0)+1,FALSE),1)</f>
        <v>0.12052940836403959</v>
      </c>
      <c r="V82" s="29">
        <f ca="1">VLOOKUP($C82,$D$50:$Z$51,V$56+1,FALSE)*$D$65*$A82/8760/1000*IF($C82="Manufactured",IF(RIGHT($D82,4)&lt;&gt;"ered",'HVAC weighting'!$G$17,'HVAC weighting'!$G$18),IF(RIGHT($D82,4)&lt;&gt;"ered",'HVAC weighting'!$G$23,'HVAC weighting'!$G$24))*IFERROR(VLOOKUP(RIGHT('SC-NR'!$D82,4),'HVAC weighting'!$A$3:$C$8,MATCH('SC-NR'!$C82,'HVAC weighting'!$B$3:$C$3,0)+1,FALSE),1)</f>
        <v>0.120642078732577</v>
      </c>
      <c r="W82" s="29">
        <f ca="1">VLOOKUP($C82,$D$50:$Z$51,W$56+1,FALSE)*$D$65*$A82/8760/1000*IF($C82="Manufactured",IF(RIGHT($D82,4)&lt;&gt;"ered",'HVAC weighting'!$G$17,'HVAC weighting'!$G$18),IF(RIGHT($D82,4)&lt;&gt;"ered",'HVAC weighting'!$G$23,'HVAC weighting'!$G$24))*IFERROR(VLOOKUP(RIGHT('SC-NR'!$D82,4),'HVAC weighting'!$A$3:$C$8,MATCH('SC-NR'!$C82,'HVAC weighting'!$B$3:$C$3,0)+1,FALSE),1)</f>
        <v>0.11961114008054295</v>
      </c>
      <c r="X82" s="29">
        <f ca="1">VLOOKUP($C82,$D$50:$Z$51,X$56+1,FALSE)*$D$65*$A82/8760/1000*IF($C82="Manufactured",IF(RIGHT($D82,4)&lt;&gt;"ered",'HVAC weighting'!$G$17,'HVAC weighting'!$G$18),IF(RIGHT($D82,4)&lt;&gt;"ered",'HVAC weighting'!$G$23,'HVAC weighting'!$G$24))*IFERROR(VLOOKUP(RIGHT('SC-NR'!$D82,4),'HVAC weighting'!$A$3:$C$8,MATCH('SC-NR'!$C82,'HVAC weighting'!$B$3:$C$3,0)+1,FALSE),1)</f>
        <v>0.11833451632525017</v>
      </c>
      <c r="Y82" s="29">
        <f ca="1">(VLOOKUP($C82,$D$37:$Z$38,$X$56+3,FALSE)+VLOOKUP($C82,$D$43:$Z$44,$X$56+3,FALSE))*$A82*$D$65/8760/1000*IF($C82="Manufactured",IF(RIGHT($D82,4)&lt;&gt;"ered",'HVAC weighting'!$G$17,'HVAC weighting'!$G$18),IF(RIGHT($D82,4)&lt;&gt;"ered",'HVAC weighting'!$G$23,'HVAC weighting'!$G$24))*IFERROR(VLOOKUP(RIGHT('SC-NR'!$D82,4),'HVAC weighting'!$A$3:$C$8,MATCH('SC-NR'!$C82,'HVAC weighting'!$B$3:$C$3,0)+1,FALSE),1)</f>
        <v>1.4956041352353415</v>
      </c>
      <c r="AA82" s="29">
        <f t="shared" ca="1" si="28"/>
        <v>1.2937980598010532</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A83" s="58">
        <f t="shared" si="25"/>
        <v>87.018336528396802</v>
      </c>
      <c r="B83" s="58">
        <f t="shared" si="26"/>
        <v>1624.0877492683064</v>
      </c>
      <c r="C83" s="7" t="str">
        <f t="shared" si="27"/>
        <v>Manufactured</v>
      </c>
      <c r="D83" s="7" t="s">
        <v>489</v>
      </c>
      <c r="E83" s="29">
        <f ca="1">VLOOKUP($C83,$D$50:$Z$51,E$56+1,FALSE)*$D$65*$A83/8760/1000*IF($C83="Manufactured",IF(RIGHT($D83,4)&lt;&gt;"ered",'HVAC weighting'!$G$17,'HVAC weighting'!$G$18),IF(RIGHT($D83,4)&lt;&gt;"ered",'HVAC weighting'!$G$23,'HVAC weighting'!$G$24))*IFERROR(VLOOKUP(RIGHT('SC-NR'!$D83,4),'HVAC weighting'!$A$3:$C$8,MATCH('SC-NR'!$C83,'HVAC weighting'!$B$3:$C$3,0)+1,FALSE),1)</f>
        <v>3.0117888496542606E-4</v>
      </c>
      <c r="F83" s="29">
        <f ca="1">VLOOKUP($C83,$D$50:$Z$51,F$56+1,FALSE)*$D$65*$A83/8760/1000*IF($C83="Manufactured",IF(RIGHT($D83,4)&lt;&gt;"ered",'HVAC weighting'!$G$17,'HVAC weighting'!$G$18),IF(RIGHT($D83,4)&lt;&gt;"ered",'HVAC weighting'!$G$23,'HVAC weighting'!$G$24))*IFERROR(VLOOKUP(RIGHT('SC-NR'!$D83,4),'HVAC weighting'!$A$3:$C$8,MATCH('SC-NR'!$C83,'HVAC weighting'!$B$3:$C$3,0)+1,FALSE),1)</f>
        <v>7.6632595312971273E-4</v>
      </c>
      <c r="G83" s="29">
        <f ca="1">VLOOKUP($C83,$D$50:$Z$51,G$56+1,FALSE)*$D$65*$A83/8760/1000*IF($C83="Manufactured",IF(RIGHT($D83,4)&lt;&gt;"ered",'HVAC weighting'!$G$17,'HVAC weighting'!$G$18),IF(RIGHT($D83,4)&lt;&gt;"ered",'HVAC weighting'!$G$23,'HVAC weighting'!$G$24))*IFERROR(VLOOKUP(RIGHT('SC-NR'!$D83,4),'HVAC weighting'!$A$3:$C$8,MATCH('SC-NR'!$C83,'HVAC weighting'!$B$3:$C$3,0)+1,FALSE),1)</f>
        <v>1.6848569265539011E-3</v>
      </c>
      <c r="H83" s="29">
        <f ca="1">VLOOKUP($C83,$D$50:$Z$51,H$56+1,FALSE)*$D$65*$A83/8760/1000*IF($C83="Manufactured",IF(RIGHT($D83,4)&lt;&gt;"ered",'HVAC weighting'!$G$17,'HVAC weighting'!$G$18),IF(RIGHT($D83,4)&lt;&gt;"ered",'HVAC weighting'!$G$23,'HVAC weighting'!$G$24))*IFERROR(VLOOKUP(RIGHT('SC-NR'!$D83,4),'HVAC weighting'!$A$3:$C$8,MATCH('SC-NR'!$C83,'HVAC weighting'!$B$3:$C$3,0)+1,FALSE),1)</f>
        <v>3.2712803482114277E-3</v>
      </c>
      <c r="I83" s="29">
        <f ca="1">VLOOKUP($C83,$D$50:$Z$51,I$56+1,FALSE)*$D$65*$A83/8760/1000*IF($C83="Manufactured",IF(RIGHT($D83,4)&lt;&gt;"ered",'HVAC weighting'!$G$17,'HVAC weighting'!$G$18),IF(RIGHT($D83,4)&lt;&gt;"ered",'HVAC weighting'!$G$23,'HVAC weighting'!$G$24))*IFERROR(VLOOKUP(RIGHT('SC-NR'!$D83,4),'HVAC weighting'!$A$3:$C$8,MATCH('SC-NR'!$C83,'HVAC weighting'!$B$3:$C$3,0)+1,FALSE),1)</f>
        <v>5.7054270286934295E-3</v>
      </c>
      <c r="J83" s="29">
        <f ca="1">VLOOKUP($C83,$D$50:$Z$51,J$56+1,FALSE)*$D$65*$A83/8760/1000*IF($C83="Manufactured",IF(RIGHT($D83,4)&lt;&gt;"ered",'HVAC weighting'!$G$17,'HVAC weighting'!$G$18),IF(RIGHT($D83,4)&lt;&gt;"ered",'HVAC weighting'!$G$23,'HVAC weighting'!$G$24))*IFERROR(VLOOKUP(RIGHT('SC-NR'!$D83,4),'HVAC weighting'!$A$3:$C$8,MATCH('SC-NR'!$C83,'HVAC weighting'!$B$3:$C$3,0)+1,FALSE),1)</f>
        <v>9.0642605047323247E-3</v>
      </c>
      <c r="K83" s="29">
        <f ca="1">VLOOKUP($C83,$D$50:$Z$51,K$56+1,FALSE)*$D$65*$A83/8760/1000*IF($C83="Manufactured",IF(RIGHT($D83,4)&lt;&gt;"ered",'HVAC weighting'!$G$17,'HVAC weighting'!$G$18),IF(RIGHT($D83,4)&lt;&gt;"ered",'HVAC weighting'!$G$23,'HVAC weighting'!$G$24))*IFERROR(VLOOKUP(RIGHT('SC-NR'!$D83,4),'HVAC weighting'!$A$3:$C$8,MATCH('SC-NR'!$C83,'HVAC weighting'!$B$3:$C$3,0)+1,FALSE),1)</f>
        <v>1.327335797390637E-2</v>
      </c>
      <c r="L83" s="29">
        <f ca="1">VLOOKUP($C83,$D$50:$Z$51,L$56+1,FALSE)*$D$65*$A83/8760/1000*IF($C83="Manufactured",IF(RIGHT($D83,4)&lt;&gt;"ered",'HVAC weighting'!$G$17,'HVAC weighting'!$G$18),IF(RIGHT($D83,4)&lt;&gt;"ered",'HVAC weighting'!$G$23,'HVAC weighting'!$G$24))*IFERROR(VLOOKUP(RIGHT('SC-NR'!$D83,4),'HVAC weighting'!$A$3:$C$8,MATCH('SC-NR'!$C83,'HVAC weighting'!$B$3:$C$3,0)+1,FALSE),1)</f>
        <v>1.8101446610933561E-2</v>
      </c>
      <c r="M83" s="29">
        <f ca="1">VLOOKUP($C83,$D$50:$Z$51,M$56+1,FALSE)*$D$65*$A83/8760/1000*IF($C83="Manufactured",IF(RIGHT($D83,4)&lt;&gt;"ered",'HVAC weighting'!$G$17,'HVAC weighting'!$G$18),IF(RIGHT($D83,4)&lt;&gt;"ered",'HVAC weighting'!$G$23,'HVAC weighting'!$G$24))*IFERROR(VLOOKUP(RIGHT('SC-NR'!$D83,4),'HVAC weighting'!$A$3:$C$8,MATCH('SC-NR'!$C83,'HVAC weighting'!$B$3:$C$3,0)+1,FALSE),1)</f>
        <v>2.3203041312089865E-2</v>
      </c>
      <c r="N83" s="29">
        <f ca="1">VLOOKUP($C83,$D$50:$Z$51,N$56+1,FALSE)*$D$65*$A83/8760/1000*IF($C83="Manufactured",IF(RIGHT($D83,4)&lt;&gt;"ered",'HVAC weighting'!$G$17,'HVAC weighting'!$G$18),IF(RIGHT($D83,4)&lt;&gt;"ered",'HVAC weighting'!$G$23,'HVAC weighting'!$G$24))*IFERROR(VLOOKUP(RIGHT('SC-NR'!$D83,4),'HVAC weighting'!$A$3:$C$8,MATCH('SC-NR'!$C83,'HVAC weighting'!$B$3:$C$3,0)+1,FALSE),1)</f>
        <v>2.8193527269449788E-2</v>
      </c>
      <c r="O83" s="29">
        <f ca="1">VLOOKUP($C83,$D$50:$Z$51,O$56+1,FALSE)*$D$65*$A83/8760/1000*IF($C83="Manufactured",IF(RIGHT($D83,4)&lt;&gt;"ered",'HVAC weighting'!$G$17,'HVAC weighting'!$G$18),IF(RIGHT($D83,4)&lt;&gt;"ered",'HVAC weighting'!$G$23,'HVAC weighting'!$G$24))*IFERROR(VLOOKUP(RIGHT('SC-NR'!$D83,4),'HVAC weighting'!$A$3:$C$8,MATCH('SC-NR'!$C83,'HVAC weighting'!$B$3:$C$3,0)+1,FALSE),1)</f>
        <v>3.2729198441141902E-2</v>
      </c>
      <c r="P83" s="29">
        <f ca="1">VLOOKUP($C83,$D$50:$Z$51,P$56+1,FALSE)*$D$65*$A83/8760/1000*IF($C83="Manufactured",IF(RIGHT($D83,4)&lt;&gt;"ered",'HVAC weighting'!$G$17,'HVAC weighting'!$G$18),IF(RIGHT($D83,4)&lt;&gt;"ered",'HVAC weighting'!$G$23,'HVAC weighting'!$G$24))*IFERROR(VLOOKUP(RIGHT('SC-NR'!$D83,4),'HVAC weighting'!$A$3:$C$8,MATCH('SC-NR'!$C83,'HVAC weighting'!$B$3:$C$3,0)+1,FALSE),1)</f>
        <v>3.6566543978542046E-2</v>
      </c>
      <c r="Q83" s="29">
        <f ca="1">VLOOKUP($C83,$D$50:$Z$51,Q$56+1,FALSE)*$D$65*$A83/8760/1000*IF($C83="Manufactured",IF(RIGHT($D83,4)&lt;&gt;"ered",'HVAC weighting'!$G$17,'HVAC weighting'!$G$18),IF(RIGHT($D83,4)&lt;&gt;"ered",'HVAC weighting'!$G$23,'HVAC weighting'!$G$24))*IFERROR(VLOOKUP(RIGHT('SC-NR'!$D83,4),'HVAC weighting'!$A$3:$C$8,MATCH('SC-NR'!$C83,'HVAC weighting'!$B$3:$C$3,0)+1,FALSE),1)</f>
        <v>3.9587124906183796E-2</v>
      </c>
      <c r="R83" s="29">
        <f ca="1">VLOOKUP($C83,$D$50:$Z$51,R$56+1,FALSE)*$D$65*$A83/8760/1000*IF($C83="Manufactured",IF(RIGHT($D83,4)&lt;&gt;"ered",'HVAC weighting'!$G$17,'HVAC weighting'!$G$18),IF(RIGHT($D83,4)&lt;&gt;"ered",'HVAC weighting'!$G$23,'HVAC weighting'!$G$24))*IFERROR(VLOOKUP(RIGHT('SC-NR'!$D83,4),'HVAC weighting'!$A$3:$C$8,MATCH('SC-NR'!$C83,'HVAC weighting'!$B$3:$C$3,0)+1,FALSE),1)</f>
        <v>4.3821646952421724E-2</v>
      </c>
      <c r="S83" s="29">
        <f ca="1">VLOOKUP($C83,$D$50:$Z$51,S$56+1,FALSE)*$D$65*$A83/8760/1000*IF($C83="Manufactured",IF(RIGHT($D83,4)&lt;&gt;"ered",'HVAC weighting'!$G$17,'HVAC weighting'!$G$18),IF(RIGHT($D83,4)&lt;&gt;"ered",'HVAC weighting'!$G$23,'HVAC weighting'!$G$24))*IFERROR(VLOOKUP(RIGHT('SC-NR'!$D83,4),'HVAC weighting'!$A$3:$C$8,MATCH('SC-NR'!$C83,'HVAC weighting'!$B$3:$C$3,0)+1,FALSE),1)</f>
        <v>4.5381419675361898E-2</v>
      </c>
      <c r="T83" s="29">
        <f ca="1">VLOOKUP($C83,$D$50:$Z$51,T$56+1,FALSE)*$D$65*$A83/8760/1000*IF($C83="Manufactured",IF(RIGHT($D83,4)&lt;&gt;"ered",'HVAC weighting'!$G$17,'HVAC weighting'!$G$18),IF(RIGHT($D83,4)&lt;&gt;"ered",'HVAC weighting'!$G$23,'HVAC weighting'!$G$24))*IFERROR(VLOOKUP(RIGHT('SC-NR'!$D83,4),'HVAC weighting'!$A$3:$C$8,MATCH('SC-NR'!$C83,'HVAC weighting'!$B$3:$C$3,0)+1,FALSE),1)</f>
        <v>4.635625889214684E-2</v>
      </c>
      <c r="U83" s="29">
        <f ca="1">VLOOKUP($C83,$D$50:$Z$51,U$56+1,FALSE)*$D$65*$A83/8760/1000*IF($C83="Manufactured",IF(RIGHT($D83,4)&lt;&gt;"ered",'HVAC weighting'!$G$17,'HVAC weighting'!$G$18),IF(RIGHT($D83,4)&lt;&gt;"ered",'HVAC weighting'!$G$23,'HVAC weighting'!$G$24))*IFERROR(VLOOKUP(RIGHT('SC-NR'!$D83,4),'HVAC weighting'!$A$3:$C$8,MATCH('SC-NR'!$C83,'HVAC weighting'!$B$3:$C$3,0)+1,FALSE),1)</f>
        <v>4.6828234391161919E-2</v>
      </c>
      <c r="V83" s="29">
        <f ca="1">VLOOKUP($C83,$D$50:$Z$51,V$56+1,FALSE)*$D$65*$A83/8760/1000*IF($C83="Manufactured",IF(RIGHT($D83,4)&lt;&gt;"ered",'HVAC weighting'!$G$17,'HVAC weighting'!$G$18),IF(RIGHT($D83,4)&lt;&gt;"ered",'HVAC weighting'!$G$23,'HVAC weighting'!$G$24))*IFERROR(VLOOKUP(RIGHT('SC-NR'!$D83,4),'HVAC weighting'!$A$3:$C$8,MATCH('SC-NR'!$C83,'HVAC weighting'!$B$3:$C$3,0)+1,FALSE),1)</f>
        <v>4.6769044655913784E-2</v>
      </c>
      <c r="W83" s="29">
        <f ca="1">VLOOKUP($C83,$D$50:$Z$51,W$56+1,FALSE)*$D$65*$A83/8760/1000*IF($C83="Manufactured",IF(RIGHT($D83,4)&lt;&gt;"ered",'HVAC weighting'!$G$17,'HVAC weighting'!$G$18),IF(RIGHT($D83,4)&lt;&gt;"ered",'HVAC weighting'!$G$23,'HVAC weighting'!$G$24))*IFERROR(VLOOKUP(RIGHT('SC-NR'!$D83,4),'HVAC weighting'!$A$3:$C$8,MATCH('SC-NR'!$C83,'HVAC weighting'!$B$3:$C$3,0)+1,FALSE),1)</f>
        <v>4.6479022428723767E-2</v>
      </c>
      <c r="X83" s="29">
        <f ca="1">VLOOKUP($C83,$D$50:$Z$51,X$56+1,FALSE)*$D$65*$A83/8760/1000*IF($C83="Manufactured",IF(RIGHT($D83,4)&lt;&gt;"ered",'HVAC weighting'!$G$17,'HVAC weighting'!$G$18),IF(RIGHT($D83,4)&lt;&gt;"ered",'HVAC weighting'!$G$23,'HVAC weighting'!$G$24))*IFERROR(VLOOKUP(RIGHT('SC-NR'!$D83,4),'HVAC weighting'!$A$3:$C$8,MATCH('SC-NR'!$C83,'HVAC weighting'!$B$3:$C$3,0)+1,FALSE),1)</f>
        <v>4.6048495912002815E-2</v>
      </c>
      <c r="Y83" s="29">
        <f ca="1">(VLOOKUP($C83,$D$37:$Z$38,$X$56+3,FALSE)+VLOOKUP($C83,$D$43:$Z$44,$X$56+3,FALSE))*$A83*$D$65/8760/1000*IF($C83="Manufactured",IF(RIGHT($D83,4)&lt;&gt;"ered",'HVAC weighting'!$G$17,'HVAC weighting'!$G$18),IF(RIGHT($D83,4)&lt;&gt;"ered",'HVAC weighting'!$G$23,'HVAC weighting'!$G$24))*IFERROR(VLOOKUP(RIGHT('SC-NR'!$D83,4),'HVAC weighting'!$A$3:$C$8,MATCH('SC-NR'!$C83,'HVAC weighting'!$B$3:$C$3,0)+1,FALSE),1)</f>
        <v>0.59254178474489227</v>
      </c>
      <c r="AA83" s="29">
        <f t="shared" ca="1" si="28"/>
        <v>0.53413169304626629</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A84" s="58">
        <f t="shared" si="25"/>
        <v>86.442796713311679</v>
      </c>
      <c r="B84" s="58">
        <f t="shared" si="26"/>
        <v>1635.6197766937105</v>
      </c>
      <c r="C84" s="7" t="str">
        <f t="shared" si="27"/>
        <v>Single Family</v>
      </c>
      <c r="D84" s="7" t="s">
        <v>478</v>
      </c>
      <c r="E84" s="29">
        <f ca="1">VLOOKUP($C84,$D$50:$Z$51,E$56+1,FALSE)*$D$65*$A84/8760/1000*IF($C84="Manufactured",IF(RIGHT($D84,4)&lt;&gt;"ered",'HVAC weighting'!$G$17,'HVAC weighting'!$G$18),IF(RIGHT($D84,4)&lt;&gt;"ered",'HVAC weighting'!$G$23,'HVAC weighting'!$G$24))*IFERROR(VLOOKUP(RIGHT('SC-NR'!$D84,4),'HVAC weighting'!$A$3:$C$8,MATCH('SC-NR'!$C84,'HVAC weighting'!$B$3:$C$3,0)+1,FALSE),1)</f>
        <v>9.9184982146069954E-4</v>
      </c>
      <c r="F84" s="29">
        <f ca="1">VLOOKUP($C84,$D$50:$Z$51,F$56+1,FALSE)*$D$65*$A84/8760/1000*IF($C84="Manufactured",IF(RIGHT($D84,4)&lt;&gt;"ered",'HVAC weighting'!$G$17,'HVAC weighting'!$G$18),IF(RIGHT($D84,4)&lt;&gt;"ered",'HVAC weighting'!$G$23,'HVAC weighting'!$G$24))*IFERROR(VLOOKUP(RIGHT('SC-NR'!$D84,4),'HVAC weighting'!$A$3:$C$8,MATCH('SC-NR'!$C84,'HVAC weighting'!$B$3:$C$3,0)+1,FALSE),1)</f>
        <v>2.5451530387365262E-3</v>
      </c>
      <c r="G84" s="29">
        <f ca="1">VLOOKUP($C84,$D$50:$Z$51,G$56+1,FALSE)*$D$65*$A84/8760/1000*IF($C84="Manufactured",IF(RIGHT($D84,4)&lt;&gt;"ered",'HVAC weighting'!$G$17,'HVAC weighting'!$G$18),IF(RIGHT($D84,4)&lt;&gt;"ered",'HVAC weighting'!$G$23,'HVAC weighting'!$G$24))*IFERROR(VLOOKUP(RIGHT('SC-NR'!$D84,4),'HVAC weighting'!$A$3:$C$8,MATCH('SC-NR'!$C84,'HVAC weighting'!$B$3:$C$3,0)+1,FALSE),1)</f>
        <v>5.6434198827679969E-3</v>
      </c>
      <c r="H84" s="29">
        <f ca="1">VLOOKUP($C84,$D$50:$Z$51,H$56+1,FALSE)*$D$65*$A84/8760/1000*IF($C84="Manufactured",IF(RIGHT($D84,4)&lt;&gt;"ered",'HVAC weighting'!$G$17,'HVAC weighting'!$G$18),IF(RIGHT($D84,4)&lt;&gt;"ered",'HVAC weighting'!$G$23,'HVAC weighting'!$G$24))*IFERROR(VLOOKUP(RIGHT('SC-NR'!$D84,4),'HVAC weighting'!$A$3:$C$8,MATCH('SC-NR'!$C84,'HVAC weighting'!$B$3:$C$3,0)+1,FALSE),1)</f>
        <v>1.1050350919713103E-2</v>
      </c>
      <c r="I84" s="29">
        <f ca="1">VLOOKUP($C84,$D$50:$Z$51,I$56+1,FALSE)*$D$65*$A84/8760/1000*IF($C84="Manufactured",IF(RIGHT($D84,4)&lt;&gt;"ered",'HVAC weighting'!$G$17,'HVAC weighting'!$G$18),IF(RIGHT($D84,4)&lt;&gt;"ered",'HVAC weighting'!$G$23,'HVAC weighting'!$G$24))*IFERROR(VLOOKUP(RIGHT('SC-NR'!$D84,4),'HVAC weighting'!$A$3:$C$8,MATCH('SC-NR'!$C84,'HVAC weighting'!$B$3:$C$3,0)+1,FALSE),1)</f>
        <v>1.943682969163581E-2</v>
      </c>
      <c r="J84" s="29">
        <f ca="1">VLOOKUP($C84,$D$50:$Z$51,J$56+1,FALSE)*$D$65*$A84/8760/1000*IF($C84="Manufactured",IF(RIGHT($D84,4)&lt;&gt;"ered",'HVAC weighting'!$G$17,'HVAC weighting'!$G$18),IF(RIGHT($D84,4)&lt;&gt;"ered",'HVAC weighting'!$G$23,'HVAC weighting'!$G$24))*IFERROR(VLOOKUP(RIGHT('SC-NR'!$D84,4),'HVAC weighting'!$A$3:$C$8,MATCH('SC-NR'!$C84,'HVAC weighting'!$B$3:$C$3,0)+1,FALSE),1)</f>
        <v>3.1142152109607059E-2</v>
      </c>
      <c r="K84" s="29">
        <f ca="1">VLOOKUP($C84,$D$50:$Z$51,K$56+1,FALSE)*$D$65*$A84/8760/1000*IF($C84="Manufactured",IF(RIGHT($D84,4)&lt;&gt;"ered",'HVAC weighting'!$G$17,'HVAC weighting'!$G$18),IF(RIGHT($D84,4)&lt;&gt;"ered",'HVAC weighting'!$G$23,'HVAC weighting'!$G$24))*IFERROR(VLOOKUP(RIGHT('SC-NR'!$D84,4),'HVAC weighting'!$A$3:$C$8,MATCH('SC-NR'!$C84,'HVAC weighting'!$B$3:$C$3,0)+1,FALSE),1)</f>
        <v>4.5991335326696567E-2</v>
      </c>
      <c r="L84" s="29">
        <f ca="1">VLOOKUP($C84,$D$50:$Z$51,L$56+1,FALSE)*$D$65*$A84/8760/1000*IF($C84="Manufactured",IF(RIGHT($D84,4)&lt;&gt;"ered",'HVAC weighting'!$G$17,'HVAC weighting'!$G$18),IF(RIGHT($D84,4)&lt;&gt;"ered",'HVAC weighting'!$G$23,'HVAC weighting'!$G$24))*IFERROR(VLOOKUP(RIGHT('SC-NR'!$D84,4),'HVAC weighting'!$A$3:$C$8,MATCH('SC-NR'!$C84,'HVAC weighting'!$B$3:$C$3,0)+1,FALSE),1)</f>
        <v>6.325392286626777E-2</v>
      </c>
      <c r="M84" s="29">
        <f ca="1">VLOOKUP($C84,$D$50:$Z$51,M$56+1,FALSE)*$D$65*$A84/8760/1000*IF($C84="Manufactured",IF(RIGHT($D84,4)&lt;&gt;"ered",'HVAC weighting'!$G$17,'HVAC weighting'!$G$18),IF(RIGHT($D84,4)&lt;&gt;"ered",'HVAC weighting'!$G$23,'HVAC weighting'!$G$24))*IFERROR(VLOOKUP(RIGHT('SC-NR'!$D84,4),'HVAC weighting'!$A$3:$C$8,MATCH('SC-NR'!$C84,'HVAC weighting'!$B$3:$C$3,0)+1,FALSE),1)</f>
        <v>8.1770765446600446E-2</v>
      </c>
      <c r="N84" s="29">
        <f ca="1">VLOOKUP($C84,$D$50:$Z$51,N$56+1,FALSE)*$D$65*$A84/8760/1000*IF($C84="Manufactured",IF(RIGHT($D84,4)&lt;&gt;"ered",'HVAC weighting'!$G$17,'HVAC weighting'!$G$18),IF(RIGHT($D84,4)&lt;&gt;"ered",'HVAC weighting'!$G$23,'HVAC weighting'!$G$24))*IFERROR(VLOOKUP(RIGHT('SC-NR'!$D84,4),'HVAC weighting'!$A$3:$C$8,MATCH('SC-NR'!$C84,'HVAC weighting'!$B$3:$C$3,0)+1,FALSE),1)</f>
        <v>0.10020318646158718</v>
      </c>
      <c r="O84" s="29">
        <f ca="1">VLOOKUP($C84,$D$50:$Z$51,O$56+1,FALSE)*$D$65*$A84/8760/1000*IF($C84="Manufactured",IF(RIGHT($D84,4)&lt;&gt;"ered",'HVAC weighting'!$G$17,'HVAC weighting'!$G$18),IF(RIGHT($D84,4)&lt;&gt;"ered",'HVAC weighting'!$G$23,'HVAC weighting'!$G$24))*IFERROR(VLOOKUP(RIGHT('SC-NR'!$D84,4),'HVAC weighting'!$A$3:$C$8,MATCH('SC-NR'!$C84,'HVAC weighting'!$B$3:$C$3,0)+1,FALSE),1)</f>
        <v>0.11731308537615261</v>
      </c>
      <c r="P84" s="29">
        <f ca="1">VLOOKUP($C84,$D$50:$Z$51,P$56+1,FALSE)*$D$65*$A84/8760/1000*IF($C84="Manufactured",IF(RIGHT($D84,4)&lt;&gt;"ered",'HVAC weighting'!$G$17,'HVAC weighting'!$G$18),IF(RIGHT($D84,4)&lt;&gt;"ered",'HVAC weighting'!$G$23,'HVAC weighting'!$G$24))*IFERROR(VLOOKUP(RIGHT('SC-NR'!$D84,4),'HVAC weighting'!$A$3:$C$8,MATCH('SC-NR'!$C84,'HVAC weighting'!$B$3:$C$3,0)+1,FALSE),1)</f>
        <v>0.13218250330794629</v>
      </c>
      <c r="Q84" s="29">
        <f ca="1">VLOOKUP($C84,$D$50:$Z$51,Q$56+1,FALSE)*$D$65*$A84/8760/1000*IF($C84="Manufactured",IF(RIGHT($D84,4)&lt;&gt;"ered",'HVAC weighting'!$G$17,'HVAC weighting'!$G$18),IF(RIGHT($D84,4)&lt;&gt;"ered",'HVAC weighting'!$G$23,'HVAC weighting'!$G$24))*IFERROR(VLOOKUP(RIGHT('SC-NR'!$D84,4),'HVAC weighting'!$A$3:$C$8,MATCH('SC-NR'!$C84,'HVAC weighting'!$B$3:$C$3,0)+1,FALSE),1)</f>
        <v>0.14431882589720446</v>
      </c>
      <c r="R84" s="29">
        <f ca="1">VLOOKUP($C84,$D$50:$Z$51,R$56+1,FALSE)*$D$65*$A84/8760/1000*IF($C84="Manufactured",IF(RIGHT($D84,4)&lt;&gt;"ered",'HVAC weighting'!$G$17,'HVAC weighting'!$G$18),IF(RIGHT($D84,4)&lt;&gt;"ered",'HVAC weighting'!$G$23,'HVAC weighting'!$G$24))*IFERROR(VLOOKUP(RIGHT('SC-NR'!$D84,4),'HVAC weighting'!$A$3:$C$8,MATCH('SC-NR'!$C84,'HVAC weighting'!$B$3:$C$3,0)+1,FALSE),1)</f>
        <v>0.18418418842004189</v>
      </c>
      <c r="S84" s="29">
        <f ca="1">VLOOKUP($C84,$D$50:$Z$51,S$56+1,FALSE)*$D$65*$A84/8760/1000*IF($C84="Manufactured",IF(RIGHT($D84,4)&lt;&gt;"ered",'HVAC weighting'!$G$17,'HVAC weighting'!$G$18),IF(RIGHT($D84,4)&lt;&gt;"ered",'HVAC weighting'!$G$23,'HVAC weighting'!$G$24))*IFERROR(VLOOKUP(RIGHT('SC-NR'!$D84,4),'HVAC weighting'!$A$3:$C$8,MATCH('SC-NR'!$C84,'HVAC weighting'!$B$3:$C$3,0)+1,FALSE),1)</f>
        <v>0.19073991074850608</v>
      </c>
      <c r="T84" s="29">
        <f ca="1">VLOOKUP($C84,$D$50:$Z$51,T$56+1,FALSE)*$D$65*$A84/8760/1000*IF($C84="Manufactured",IF(RIGHT($D84,4)&lt;&gt;"ered",'HVAC weighting'!$G$17,'HVAC weighting'!$G$18),IF(RIGHT($D84,4)&lt;&gt;"ered",'HVAC weighting'!$G$23,'HVAC weighting'!$G$24))*IFERROR(VLOOKUP(RIGHT('SC-NR'!$D84,4),'HVAC weighting'!$A$3:$C$8,MATCH('SC-NR'!$C84,'HVAC weighting'!$B$3:$C$3,0)+1,FALSE),1)</f>
        <v>0.19421758637489428</v>
      </c>
      <c r="U84" s="29">
        <f ca="1">VLOOKUP($C84,$D$50:$Z$51,U$56+1,FALSE)*$D$65*$A84/8760/1000*IF($C84="Manufactured",IF(RIGHT($D84,4)&lt;&gt;"ered",'HVAC weighting'!$G$17,'HVAC weighting'!$G$18),IF(RIGHT($D84,4)&lt;&gt;"ered",'HVAC weighting'!$G$23,'HVAC weighting'!$G$24))*IFERROR(VLOOKUP(RIGHT('SC-NR'!$D84,4),'HVAC weighting'!$A$3:$C$8,MATCH('SC-NR'!$C84,'HVAC weighting'!$B$3:$C$3,0)+1,FALSE),1)</f>
        <v>0.19602725786722586</v>
      </c>
      <c r="V84" s="29">
        <f ca="1">VLOOKUP($C84,$D$50:$Z$51,V$56+1,FALSE)*$D$65*$A84/8760/1000*IF($C84="Manufactured",IF(RIGHT($D84,4)&lt;&gt;"ered",'HVAC weighting'!$G$17,'HVAC weighting'!$G$18),IF(RIGHT($D84,4)&lt;&gt;"ered",'HVAC weighting'!$G$23,'HVAC weighting'!$G$24))*IFERROR(VLOOKUP(RIGHT('SC-NR'!$D84,4),'HVAC weighting'!$A$3:$C$8,MATCH('SC-NR'!$C84,'HVAC weighting'!$B$3:$C$3,0)+1,FALSE),1)</f>
        <v>0.19621050329825432</v>
      </c>
      <c r="W84" s="29">
        <f ca="1">VLOOKUP($C84,$D$50:$Z$51,W$56+1,FALSE)*$D$65*$A84/8760/1000*IF($C84="Manufactured",IF(RIGHT($D84,4)&lt;&gt;"ered",'HVAC weighting'!$G$17,'HVAC weighting'!$G$18),IF(RIGHT($D84,4)&lt;&gt;"ered",'HVAC weighting'!$G$23,'HVAC weighting'!$G$24))*IFERROR(VLOOKUP(RIGHT('SC-NR'!$D84,4),'HVAC weighting'!$A$3:$C$8,MATCH('SC-NR'!$C84,'HVAC weighting'!$B$3:$C$3,0)+1,FALSE),1)</f>
        <v>0.19453379983035726</v>
      </c>
      <c r="X84" s="29">
        <f ca="1">VLOOKUP($C84,$D$50:$Z$51,X$56+1,FALSE)*$D$65*$A84/8760/1000*IF($C84="Manufactured",IF(RIGHT($D84,4)&lt;&gt;"ered",'HVAC weighting'!$G$17,'HVAC weighting'!$G$18),IF(RIGHT($D84,4)&lt;&gt;"ered",'HVAC weighting'!$G$23,'HVAC weighting'!$G$24))*IFERROR(VLOOKUP(RIGHT('SC-NR'!$D84,4),'HVAC weighting'!$A$3:$C$8,MATCH('SC-NR'!$C84,'HVAC weighting'!$B$3:$C$3,0)+1,FALSE),1)</f>
        <v>0.19245751772232303</v>
      </c>
      <c r="Y84" s="29">
        <f ca="1">(VLOOKUP($C84,$D$37:$Z$38,$X$56+3,FALSE)+VLOOKUP($C84,$D$43:$Z$44,$X$56+3,FALSE))*$A84*$D$65/8760/1000*IF($C84="Manufactured",IF(RIGHT($D84,4)&lt;&gt;"ered",'HVAC weighting'!$G$17,'HVAC weighting'!$G$18),IF(RIGHT($D84,4)&lt;&gt;"ered",'HVAC weighting'!$G$23,'HVAC weighting'!$G$24))*IFERROR(VLOOKUP(RIGHT('SC-NR'!$D84,4),'HVAC weighting'!$A$3:$C$8,MATCH('SC-NR'!$C84,'HVAC weighting'!$B$3:$C$3,0)+1,FALSE),1)</f>
        <v>2.4324285787545494</v>
      </c>
      <c r="AA84" s="29">
        <f t="shared" ca="1" si="28"/>
        <v>2.1042141444079792</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c r="A85" s="58">
        <f t="shared" si="25"/>
        <v>50.096541596068619</v>
      </c>
      <c r="B85" s="58">
        <f t="shared" si="26"/>
        <v>2752.9917395427819</v>
      </c>
      <c r="C85" s="7" t="str">
        <f t="shared" ref="C85:C90" si="29">IF(LEFT(D85,FIND(" ",$D85)-1)="single","Single Family",LEFT(D85,FIND(" ",$D85)-1))</f>
        <v>Manufactured</v>
      </c>
      <c r="D85" s="7" t="s">
        <v>492</v>
      </c>
      <c r="E85" s="29">
        <f ca="1">VLOOKUP($C85,$D$50:$Z$51,E$56+1,FALSE)*$D$65*$A85/8760/1000*IF($C85="Manufactured",IF(RIGHT($D85,4)&lt;&gt;"ered",'HVAC weighting'!$G$17,'HVAC weighting'!$G$18),IF(RIGHT($D85,4)&lt;&gt;"ered",'HVAC weighting'!$G$23,'HVAC weighting'!$G$24))*IFERROR(VLOOKUP(RIGHT('SC-NR'!$D85,4),'HVAC weighting'!$A$3:$C$8,MATCH('SC-NR'!$C85,'HVAC weighting'!$B$3:$C$3,0)+1,FALSE),1)</f>
        <v>1.0819806688957889E-4</v>
      </c>
      <c r="F85" s="29">
        <f ca="1">VLOOKUP($C85,$D$50:$Z$51,F$56+1,FALSE)*$D$65*$A85/8760/1000*IF($C85="Manufactured",IF(RIGHT($D85,4)&lt;&gt;"ered",'HVAC weighting'!$G$17,'HVAC weighting'!$G$18),IF(RIGHT($D85,4)&lt;&gt;"ered",'HVAC weighting'!$G$23,'HVAC weighting'!$G$24))*IFERROR(VLOOKUP(RIGHT('SC-NR'!$D85,4),'HVAC weighting'!$A$3:$C$8,MATCH('SC-NR'!$C85,'HVAC weighting'!$B$3:$C$3,0)+1,FALSE),1)</f>
        <v>2.7530145994619516E-4</v>
      </c>
      <c r="G85" s="29">
        <f ca="1">VLOOKUP($C85,$D$50:$Z$51,G$56+1,FALSE)*$D$65*$A85/8760/1000*IF($C85="Manufactured",IF(RIGHT($D85,4)&lt;&gt;"ered",'HVAC weighting'!$G$17,'HVAC weighting'!$G$18),IF(RIGHT($D85,4)&lt;&gt;"ered",'HVAC weighting'!$G$23,'HVAC weighting'!$G$24))*IFERROR(VLOOKUP(RIGHT('SC-NR'!$D85,4),'HVAC weighting'!$A$3:$C$8,MATCH('SC-NR'!$C85,'HVAC weighting'!$B$3:$C$3,0)+1,FALSE),1)</f>
        <v>6.0528234726540107E-4</v>
      </c>
      <c r="H85" s="29">
        <f ca="1">VLOOKUP($C85,$D$50:$Z$51,H$56+1,FALSE)*$D$65*$A85/8760/1000*IF($C85="Manufactured",IF(RIGHT($D85,4)&lt;&gt;"ered",'HVAC weighting'!$G$17,'HVAC weighting'!$G$18),IF(RIGHT($D85,4)&lt;&gt;"ered",'HVAC weighting'!$G$23,'HVAC weighting'!$G$24))*IFERROR(VLOOKUP(RIGHT('SC-NR'!$D85,4),'HVAC weighting'!$A$3:$C$8,MATCH('SC-NR'!$C85,'HVAC weighting'!$B$3:$C$3,0)+1,FALSE),1)</f>
        <v>1.1752026041632248E-3</v>
      </c>
      <c r="I85" s="29">
        <f ca="1">VLOOKUP($C85,$D$50:$Z$51,I$56+1,FALSE)*$D$65*$A85/8760/1000*IF($C85="Manufactured",IF(RIGHT($D85,4)&lt;&gt;"ered",'HVAC weighting'!$G$17,'HVAC weighting'!$G$18),IF(RIGHT($D85,4)&lt;&gt;"ered",'HVAC weighting'!$G$23,'HVAC weighting'!$G$24))*IFERROR(VLOOKUP(RIGHT('SC-NR'!$D85,4),'HVAC weighting'!$A$3:$C$8,MATCH('SC-NR'!$C85,'HVAC weighting'!$B$3:$C$3,0)+1,FALSE),1)</f>
        <v>2.0496661821264388E-3</v>
      </c>
      <c r="J85" s="29">
        <f ca="1">VLOOKUP($C85,$D$50:$Z$51,J$56+1,FALSE)*$D$65*$A85/8760/1000*IF($C85="Manufactured",IF(RIGHT($D85,4)&lt;&gt;"ered",'HVAC weighting'!$G$17,'HVAC weighting'!$G$18),IF(RIGHT($D85,4)&lt;&gt;"ered",'HVAC weighting'!$G$23,'HVAC weighting'!$G$24))*IFERROR(VLOOKUP(RIGHT('SC-NR'!$D85,4),'HVAC weighting'!$A$3:$C$8,MATCH('SC-NR'!$C85,'HVAC weighting'!$B$3:$C$3,0)+1,FALSE),1)</f>
        <v>3.2563221173628415E-3</v>
      </c>
      <c r="K85" s="29">
        <f ca="1">VLOOKUP($C85,$D$50:$Z$51,K$56+1,FALSE)*$D$65*$A85/8760/1000*IF($C85="Manufactured",IF(RIGHT($D85,4)&lt;&gt;"ered",'HVAC weighting'!$G$17,'HVAC weighting'!$G$18),IF(RIGHT($D85,4)&lt;&gt;"ered",'HVAC weighting'!$G$23,'HVAC weighting'!$G$24))*IFERROR(VLOOKUP(RIGHT('SC-NR'!$D85,4),'HVAC weighting'!$A$3:$C$8,MATCH('SC-NR'!$C85,'HVAC weighting'!$B$3:$C$3,0)+1,FALSE),1)</f>
        <v>4.768434128690365E-3</v>
      </c>
      <c r="L85" s="29">
        <f ca="1">VLOOKUP($C85,$D$50:$Z$51,L$56+1,FALSE)*$D$65*$A85/8760/1000*IF($C85="Manufactured",IF(RIGHT($D85,4)&lt;&gt;"ered",'HVAC weighting'!$G$17,'HVAC weighting'!$G$18),IF(RIGHT($D85,4)&lt;&gt;"ered",'HVAC weighting'!$G$23,'HVAC weighting'!$G$24))*IFERROR(VLOOKUP(RIGHT('SC-NR'!$D85,4),'HVAC weighting'!$A$3:$C$8,MATCH('SC-NR'!$C85,'HVAC weighting'!$B$3:$C$3,0)+1,FALSE),1)</f>
        <v>6.5029177972843683E-3</v>
      </c>
      <c r="M85" s="29">
        <f ca="1">VLOOKUP($C85,$D$50:$Z$51,M$56+1,FALSE)*$D$65*$A85/8760/1000*IF($C85="Manufactured",IF(RIGHT($D85,4)&lt;&gt;"ered",'HVAC weighting'!$G$17,'HVAC weighting'!$G$18),IF(RIGHT($D85,4)&lt;&gt;"ered",'HVAC weighting'!$G$23,'HVAC weighting'!$G$24))*IFERROR(VLOOKUP(RIGHT('SC-NR'!$D85,4),'HVAC weighting'!$A$3:$C$8,MATCH('SC-NR'!$C85,'HVAC weighting'!$B$3:$C$3,0)+1,FALSE),1)</f>
        <v>8.3356581130027019E-3</v>
      </c>
      <c r="N85" s="29">
        <f ca="1">VLOOKUP($C85,$D$50:$Z$51,N$56+1,FALSE)*$D$65*$A85/8760/1000*IF($C85="Manufactured",IF(RIGHT($D85,4)&lt;&gt;"ered",'HVAC weighting'!$G$17,'HVAC weighting'!$G$18),IF(RIGHT($D85,4)&lt;&gt;"ered",'HVAC weighting'!$G$23,'HVAC weighting'!$G$24))*IFERROR(VLOOKUP(RIGHT('SC-NR'!$D85,4),'HVAC weighting'!$A$3:$C$8,MATCH('SC-NR'!$C85,'HVAC weighting'!$B$3:$C$3,0)+1,FALSE),1)</f>
        <v>1.0128482777613298E-2</v>
      </c>
      <c r="O85" s="29">
        <f ca="1">VLOOKUP($C85,$D$50:$Z$51,O$56+1,FALSE)*$D$65*$A85/8760/1000*IF($C85="Manufactured",IF(RIGHT($D85,4)&lt;&gt;"ered",'HVAC weighting'!$G$17,'HVAC weighting'!$G$18),IF(RIGHT($D85,4)&lt;&gt;"ered",'HVAC weighting'!$G$23,'HVAC weighting'!$G$24))*IFERROR(VLOOKUP(RIGHT('SC-NR'!$D85,4),'HVAC weighting'!$A$3:$C$8,MATCH('SC-NR'!$C85,'HVAC weighting'!$B$3:$C$3,0)+1,FALSE),1)</f>
        <v>1.1757915906300967E-2</v>
      </c>
      <c r="P85" s="29">
        <f ca="1">VLOOKUP($C85,$D$50:$Z$51,P$56+1,FALSE)*$D$65*$A85/8760/1000*IF($C85="Manufactured",IF(RIGHT($D85,4)&lt;&gt;"ered",'HVAC weighting'!$G$17,'HVAC weighting'!$G$18),IF(RIGHT($D85,4)&lt;&gt;"ered",'HVAC weighting'!$G$23,'HVAC weighting'!$G$24))*IFERROR(VLOOKUP(RIGHT('SC-NR'!$D85,4),'HVAC weighting'!$A$3:$C$8,MATCH('SC-NR'!$C85,'HVAC weighting'!$B$3:$C$3,0)+1,FALSE),1)</f>
        <v>1.3136476588540393E-2</v>
      </c>
      <c r="Q85" s="29">
        <f ca="1">VLOOKUP($C85,$D$50:$Z$51,Q$56+1,FALSE)*$D$65*$A85/8760/1000*IF($C85="Manufactured",IF(RIGHT($D85,4)&lt;&gt;"ered",'HVAC weighting'!$G$17,'HVAC weighting'!$G$18),IF(RIGHT($D85,4)&lt;&gt;"ered",'HVAC weighting'!$G$23,'HVAC weighting'!$G$24))*IFERROR(VLOOKUP(RIGHT('SC-NR'!$D85,4),'HVAC weighting'!$A$3:$C$8,MATCH('SC-NR'!$C85,'HVAC weighting'!$B$3:$C$3,0)+1,FALSE),1)</f>
        <v>1.4221615798388675E-2</v>
      </c>
      <c r="R85" s="29">
        <f ca="1">VLOOKUP($C85,$D$50:$Z$51,R$56+1,FALSE)*$D$65*$A85/8760/1000*IF($C85="Manufactured",IF(RIGHT($D85,4)&lt;&gt;"ered",'HVAC weighting'!$G$17,'HVAC weighting'!$G$18),IF(RIGHT($D85,4)&lt;&gt;"ered",'HVAC weighting'!$G$23,'HVAC weighting'!$G$24))*IFERROR(VLOOKUP(RIGHT('SC-NR'!$D85,4),'HVAC weighting'!$A$3:$C$8,MATCH('SC-NR'!$C85,'HVAC weighting'!$B$3:$C$3,0)+1,FALSE),1)</f>
        <v>1.5742861551246958E-2</v>
      </c>
      <c r="S85" s="29">
        <f ca="1">VLOOKUP($C85,$D$50:$Z$51,S$56+1,FALSE)*$D$65*$A85/8760/1000*IF($C85="Manufactured",IF(RIGHT($D85,4)&lt;&gt;"ered",'HVAC weighting'!$G$17,'HVAC weighting'!$G$18),IF(RIGHT($D85,4)&lt;&gt;"ered",'HVAC weighting'!$G$23,'HVAC weighting'!$G$24))*IFERROR(VLOOKUP(RIGHT('SC-NR'!$D85,4),'HVAC weighting'!$A$3:$C$8,MATCH('SC-NR'!$C85,'HVAC weighting'!$B$3:$C$3,0)+1,FALSE),1)</f>
        <v>1.6303207584231958E-2</v>
      </c>
      <c r="T85" s="29">
        <f ca="1">VLOOKUP($C85,$D$50:$Z$51,T$56+1,FALSE)*$D$65*$A85/8760/1000*IF($C85="Manufactured",IF(RIGHT($D85,4)&lt;&gt;"ered",'HVAC weighting'!$G$17,'HVAC weighting'!$G$18),IF(RIGHT($D85,4)&lt;&gt;"ered",'HVAC weighting'!$G$23,'HVAC weighting'!$G$24))*IFERROR(VLOOKUP(RIGHT('SC-NR'!$D85,4),'HVAC weighting'!$A$3:$C$8,MATCH('SC-NR'!$C85,'HVAC weighting'!$B$3:$C$3,0)+1,FALSE),1)</f>
        <v>1.6653417124307745E-2</v>
      </c>
      <c r="U85" s="29">
        <f ca="1">VLOOKUP($C85,$D$50:$Z$51,U$56+1,FALSE)*$D$65*$A85/8760/1000*IF($C85="Manufactured",IF(RIGHT($D85,4)&lt;&gt;"ered",'HVAC weighting'!$G$17,'HVAC weighting'!$G$18),IF(RIGHT($D85,4)&lt;&gt;"ered",'HVAC weighting'!$G$23,'HVAC weighting'!$G$24))*IFERROR(VLOOKUP(RIGHT('SC-NR'!$D85,4),'HVAC weighting'!$A$3:$C$8,MATCH('SC-NR'!$C85,'HVAC weighting'!$B$3:$C$3,0)+1,FALSE),1)</f>
        <v>1.682297362100086E-2</v>
      </c>
      <c r="V85" s="29">
        <f ca="1">VLOOKUP($C85,$D$50:$Z$51,V$56+1,FALSE)*$D$65*$A85/8760/1000*IF($C85="Manufactured",IF(RIGHT($D85,4)&lt;&gt;"ered",'HVAC weighting'!$G$17,'HVAC weighting'!$G$18),IF(RIGHT($D85,4)&lt;&gt;"ered",'HVAC weighting'!$G$23,'HVAC weighting'!$G$24))*IFERROR(VLOOKUP(RIGHT('SC-NR'!$D85,4),'HVAC weighting'!$A$3:$C$8,MATCH('SC-NR'!$C85,'HVAC weighting'!$B$3:$C$3,0)+1,FALSE),1)</f>
        <v>1.6801709796565461E-2</v>
      </c>
      <c r="W85" s="29">
        <f ca="1">VLOOKUP($C85,$D$50:$Z$51,W$56+1,FALSE)*$D$65*$A85/8760/1000*IF($C85="Manufactured",IF(RIGHT($D85,4)&lt;&gt;"ered",'HVAC weighting'!$G$17,'HVAC weighting'!$G$18),IF(RIGHT($D85,4)&lt;&gt;"ered",'HVAC weighting'!$G$23,'HVAC weighting'!$G$24))*IFERROR(VLOOKUP(RIGHT('SC-NR'!$D85,4),'HVAC weighting'!$A$3:$C$8,MATCH('SC-NR'!$C85,'HVAC weighting'!$B$3:$C$3,0)+1,FALSE),1)</f>
        <v>1.6697519742403556E-2</v>
      </c>
      <c r="X85" s="29">
        <f ca="1">VLOOKUP($C85,$D$50:$Z$51,X$56+1,FALSE)*$D$65*$A85/8760/1000*IF($C85="Manufactured",IF(RIGHT($D85,4)&lt;&gt;"ered",'HVAC weighting'!$G$17,'HVAC weighting'!$G$18),IF(RIGHT($D85,4)&lt;&gt;"ered",'HVAC weighting'!$G$23,'HVAC weighting'!$G$24))*IFERROR(VLOOKUP(RIGHT('SC-NR'!$D85,4),'HVAC weighting'!$A$3:$C$8,MATCH('SC-NR'!$C85,'HVAC weighting'!$B$3:$C$3,0)+1,FALSE),1)</f>
        <v>1.6542853731008837E-2</v>
      </c>
      <c r="Y85" s="29">
        <f ca="1">(VLOOKUP($C85,$D$37:$Z$38,$X$56+3,FALSE)+VLOOKUP($C85,$D$43:$Z$44,$X$56+3,FALSE))*$A85*$D$65/8760/1000*IF($C85="Manufactured",IF(RIGHT($D85,4)&lt;&gt;"ered",'HVAC weighting'!$G$17,'HVAC weighting'!$G$18),IF(RIGHT($D85,4)&lt;&gt;"ered",'HVAC weighting'!$G$23,'HVAC weighting'!$G$24))*IFERROR(VLOOKUP(RIGHT('SC-NR'!$D85,4),'HVAC weighting'!$A$3:$C$8,MATCH('SC-NR'!$C85,'HVAC weighting'!$B$3:$C$3,0)+1,FALSE),1)</f>
        <v>0.21286975568708294</v>
      </c>
      <c r="AA85" s="29">
        <f t="shared" ca="1" si="28"/>
        <v>0.1918860170383398</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c r="A86" s="58">
        <f t="shared" si="25"/>
        <v>50.040314629419214</v>
      </c>
      <c r="B86" s="58">
        <f t="shared" si="26"/>
        <v>2755.8310346940802</v>
      </c>
      <c r="C86" s="7" t="str">
        <f t="shared" si="29"/>
        <v>Single Family</v>
      </c>
      <c r="D86" s="7" t="s">
        <v>481</v>
      </c>
      <c r="E86" s="29">
        <f ca="1">VLOOKUP($C86,$D$50:$Z$51,E$56+1,FALSE)*$D$65*$A86/8760/1000*IF($C86="Manufactured",IF(RIGHT($D86,4)&lt;&gt;"ered",'HVAC weighting'!$G$17,'HVAC weighting'!$G$18),IF(RIGHT($D86,4)&lt;&gt;"ered",'HVAC weighting'!$G$23,'HVAC weighting'!$G$24))*IFERROR(VLOOKUP(RIGHT('SC-NR'!$D86,4),'HVAC weighting'!$A$3:$C$8,MATCH('SC-NR'!$C86,'HVAC weighting'!$B$3:$C$3,0)+1,FALSE),1)</f>
        <v>2.3625884070569003E-4</v>
      </c>
      <c r="F86" s="29">
        <f ca="1">VLOOKUP($C86,$D$50:$Z$51,F$56+1,FALSE)*$D$65*$A86/8760/1000*IF($C86="Manufactured",IF(RIGHT($D86,4)&lt;&gt;"ered",'HVAC weighting'!$G$17,'HVAC weighting'!$G$18),IF(RIGHT($D86,4)&lt;&gt;"ered",'HVAC weighting'!$G$23,'HVAC weighting'!$G$24))*IFERROR(VLOOKUP(RIGHT('SC-NR'!$D86,4),'HVAC weighting'!$A$3:$C$8,MATCH('SC-NR'!$C86,'HVAC weighting'!$B$3:$C$3,0)+1,FALSE),1)</f>
        <v>6.0625600099912104E-4</v>
      </c>
      <c r="G86" s="29">
        <f ca="1">VLOOKUP($C86,$D$50:$Z$51,G$56+1,FALSE)*$D$65*$A86/8760/1000*IF($C86="Manufactured",IF(RIGHT($D86,4)&lt;&gt;"ered",'HVAC weighting'!$G$17,'HVAC weighting'!$G$18),IF(RIGHT($D86,4)&lt;&gt;"ered",'HVAC weighting'!$G$23,'HVAC weighting'!$G$24))*IFERROR(VLOOKUP(RIGHT('SC-NR'!$D86,4),'HVAC weighting'!$A$3:$C$8,MATCH('SC-NR'!$C86,'HVAC weighting'!$B$3:$C$3,0)+1,FALSE),1)</f>
        <v>1.3442638293311813E-3</v>
      </c>
      <c r="H86" s="29">
        <f ca="1">VLOOKUP($C86,$D$50:$Z$51,H$56+1,FALSE)*$D$65*$A86/8760/1000*IF($C86="Manufactured",IF(RIGHT($D86,4)&lt;&gt;"ered",'HVAC weighting'!$G$17,'HVAC weighting'!$G$18),IF(RIGHT($D86,4)&lt;&gt;"ered",'HVAC weighting'!$G$23,'HVAC weighting'!$G$24))*IFERROR(VLOOKUP(RIGHT('SC-NR'!$D86,4),'HVAC weighting'!$A$3:$C$8,MATCH('SC-NR'!$C86,'HVAC weighting'!$B$3:$C$3,0)+1,FALSE),1)</f>
        <v>2.6321959647455763E-3</v>
      </c>
      <c r="I86" s="29">
        <f ca="1">VLOOKUP($C86,$D$50:$Z$51,I$56+1,FALSE)*$D$65*$A86/8760/1000*IF($C86="Manufactured",IF(RIGHT($D86,4)&lt;&gt;"ered",'HVAC weighting'!$G$17,'HVAC weighting'!$G$18),IF(RIGHT($D86,4)&lt;&gt;"ered",'HVAC weighting'!$G$23,'HVAC weighting'!$G$24))*IFERROR(VLOOKUP(RIGHT('SC-NR'!$D86,4),'HVAC weighting'!$A$3:$C$8,MATCH('SC-NR'!$C86,'HVAC weighting'!$B$3:$C$3,0)+1,FALSE),1)</f>
        <v>4.629857011192463E-3</v>
      </c>
      <c r="J86" s="29">
        <f ca="1">VLOOKUP($C86,$D$50:$Z$51,J$56+1,FALSE)*$D$65*$A86/8760/1000*IF($C86="Manufactured",IF(RIGHT($D86,4)&lt;&gt;"ered",'HVAC weighting'!$G$17,'HVAC weighting'!$G$18),IF(RIGHT($D86,4)&lt;&gt;"ered",'HVAC weighting'!$G$23,'HVAC weighting'!$G$24))*IFERROR(VLOOKUP(RIGHT('SC-NR'!$D86,4),'HVAC weighting'!$A$3:$C$8,MATCH('SC-NR'!$C86,'HVAC weighting'!$B$3:$C$3,0)+1,FALSE),1)</f>
        <v>7.4180673276327824E-3</v>
      </c>
      <c r="K86" s="29">
        <f ca="1">VLOOKUP($C86,$D$50:$Z$51,K$56+1,FALSE)*$D$65*$A86/8760/1000*IF($C86="Manufactured",IF(RIGHT($D86,4)&lt;&gt;"ered",'HVAC weighting'!$G$17,'HVAC weighting'!$G$18),IF(RIGHT($D86,4)&lt;&gt;"ered",'HVAC weighting'!$G$23,'HVAC weighting'!$G$24))*IFERROR(VLOOKUP(RIGHT('SC-NR'!$D86,4),'HVAC weighting'!$A$3:$C$8,MATCH('SC-NR'!$C86,'HVAC weighting'!$B$3:$C$3,0)+1,FALSE),1)</f>
        <v>1.0955145962308892E-2</v>
      </c>
      <c r="L86" s="29">
        <f ca="1">VLOOKUP($C86,$D$50:$Z$51,L$56+1,FALSE)*$D$65*$A86/8760/1000*IF($C86="Manufactured",IF(RIGHT($D86,4)&lt;&gt;"ered",'HVAC weighting'!$G$17,'HVAC weighting'!$G$18),IF(RIGHT($D86,4)&lt;&gt;"ered",'HVAC weighting'!$G$23,'HVAC weighting'!$G$24))*IFERROR(VLOOKUP(RIGHT('SC-NR'!$D86,4),'HVAC weighting'!$A$3:$C$8,MATCH('SC-NR'!$C86,'HVAC weighting'!$B$3:$C$3,0)+1,FALSE),1)</f>
        <v>1.5067098025448108E-2</v>
      </c>
      <c r="M86" s="29">
        <f ca="1">VLOOKUP($C86,$D$50:$Z$51,M$56+1,FALSE)*$D$65*$A86/8760/1000*IF($C86="Manufactured",IF(RIGHT($D86,4)&lt;&gt;"ered",'HVAC weighting'!$G$17,'HVAC weighting'!$G$18),IF(RIGHT($D86,4)&lt;&gt;"ered",'HVAC weighting'!$G$23,'HVAC weighting'!$G$24))*IFERROR(VLOOKUP(RIGHT('SC-NR'!$D86,4),'HVAC weighting'!$A$3:$C$8,MATCH('SC-NR'!$C86,'HVAC weighting'!$B$3:$C$3,0)+1,FALSE),1)</f>
        <v>1.9477813908943889E-2</v>
      </c>
      <c r="N86" s="29">
        <f ca="1">VLOOKUP($C86,$D$50:$Z$51,N$56+1,FALSE)*$D$65*$A86/8760/1000*IF($C86="Manufactured",IF(RIGHT($D86,4)&lt;&gt;"ered",'HVAC weighting'!$G$17,'HVAC weighting'!$G$18),IF(RIGHT($D86,4)&lt;&gt;"ered",'HVAC weighting'!$G$23,'HVAC weighting'!$G$24))*IFERROR(VLOOKUP(RIGHT('SC-NR'!$D86,4),'HVAC weighting'!$A$3:$C$8,MATCH('SC-NR'!$C86,'HVAC weighting'!$B$3:$C$3,0)+1,FALSE),1)</f>
        <v>2.3868420557424812E-2</v>
      </c>
      <c r="O86" s="29">
        <f ca="1">VLOOKUP($C86,$D$50:$Z$51,O$56+1,FALSE)*$D$65*$A86/8760/1000*IF($C86="Manufactured",IF(RIGHT($D86,4)&lt;&gt;"ered",'HVAC weighting'!$G$17,'HVAC weighting'!$G$18),IF(RIGHT($D86,4)&lt;&gt;"ered",'HVAC weighting'!$G$23,'HVAC weighting'!$G$24))*IFERROR(VLOOKUP(RIGHT('SC-NR'!$D86,4),'HVAC weighting'!$A$3:$C$8,MATCH('SC-NR'!$C86,'HVAC weighting'!$B$3:$C$3,0)+1,FALSE),1)</f>
        <v>2.794400215726173E-2</v>
      </c>
      <c r="P86" s="29">
        <f ca="1">VLOOKUP($C86,$D$50:$Z$51,P$56+1,FALSE)*$D$65*$A86/8760/1000*IF($C86="Manufactured",IF(RIGHT($D86,4)&lt;&gt;"ered",'HVAC weighting'!$G$17,'HVAC weighting'!$G$18),IF(RIGHT($D86,4)&lt;&gt;"ered",'HVAC weighting'!$G$23,'HVAC weighting'!$G$24))*IFERROR(VLOOKUP(RIGHT('SC-NR'!$D86,4),'HVAC weighting'!$A$3:$C$8,MATCH('SC-NR'!$C86,'HVAC weighting'!$B$3:$C$3,0)+1,FALSE),1)</f>
        <v>3.1485900705330555E-2</v>
      </c>
      <c r="Q86" s="29">
        <f ca="1">VLOOKUP($C86,$D$50:$Z$51,Q$56+1,FALSE)*$D$65*$A86/8760/1000*IF($C86="Manufactured",IF(RIGHT($D86,4)&lt;&gt;"ered",'HVAC weighting'!$G$17,'HVAC weighting'!$G$18),IF(RIGHT($D86,4)&lt;&gt;"ered",'HVAC weighting'!$G$23,'HVAC weighting'!$G$24))*IFERROR(VLOOKUP(RIGHT('SC-NR'!$D86,4),'HVAC weighting'!$A$3:$C$8,MATCH('SC-NR'!$C86,'HVAC weighting'!$B$3:$C$3,0)+1,FALSE),1)</f>
        <v>3.4376775355230399E-2</v>
      </c>
      <c r="R86" s="29">
        <f ca="1">VLOOKUP($C86,$D$50:$Z$51,R$56+1,FALSE)*$D$65*$A86/8760/1000*IF($C86="Manufactured",IF(RIGHT($D86,4)&lt;&gt;"ered",'HVAC weighting'!$G$17,'HVAC weighting'!$G$18),IF(RIGHT($D86,4)&lt;&gt;"ered",'HVAC weighting'!$G$23,'HVAC weighting'!$G$24))*IFERROR(VLOOKUP(RIGHT('SC-NR'!$D86,4),'HVAC weighting'!$A$3:$C$8,MATCH('SC-NR'!$C86,'HVAC weighting'!$B$3:$C$3,0)+1,FALSE),1)</f>
        <v>4.3872713278662122E-2</v>
      </c>
      <c r="S86" s="29">
        <f ca="1">VLOOKUP($C86,$D$50:$Z$51,S$56+1,FALSE)*$D$65*$A86/8760/1000*IF($C86="Manufactured",IF(RIGHT($D86,4)&lt;&gt;"ered",'HVAC weighting'!$G$17,'HVAC weighting'!$G$18),IF(RIGHT($D86,4)&lt;&gt;"ered",'HVAC weighting'!$G$23,'HVAC weighting'!$G$24))*IFERROR(VLOOKUP(RIGHT('SC-NR'!$D86,4),'HVAC weighting'!$A$3:$C$8,MATCH('SC-NR'!$C86,'HVAC weighting'!$B$3:$C$3,0)+1,FALSE),1)</f>
        <v>4.5434287746690317E-2</v>
      </c>
      <c r="T86" s="29">
        <f ca="1">VLOOKUP($C86,$D$50:$Z$51,T$56+1,FALSE)*$D$65*$A86/8760/1000*IF($C86="Manufactured",IF(RIGHT($D86,4)&lt;&gt;"ered",'HVAC weighting'!$G$17,'HVAC weighting'!$G$18),IF(RIGHT($D86,4)&lt;&gt;"ered",'HVAC weighting'!$G$23,'HVAC weighting'!$G$24))*IFERROR(VLOOKUP(RIGHT('SC-NR'!$D86,4),'HVAC weighting'!$A$3:$C$8,MATCH('SC-NR'!$C86,'HVAC weighting'!$B$3:$C$3,0)+1,FALSE),1)</f>
        <v>4.6262670828547306E-2</v>
      </c>
      <c r="U86" s="29">
        <f ca="1">VLOOKUP($C86,$D$50:$Z$51,U$56+1,FALSE)*$D$65*$A86/8760/1000*IF($C86="Manufactured",IF(RIGHT($D86,4)&lt;&gt;"ered",'HVAC weighting'!$G$17,'HVAC weighting'!$G$18),IF(RIGHT($D86,4)&lt;&gt;"ered",'HVAC weighting'!$G$23,'HVAC weighting'!$G$24))*IFERROR(VLOOKUP(RIGHT('SC-NR'!$D86,4),'HVAC weighting'!$A$3:$C$8,MATCH('SC-NR'!$C86,'HVAC weighting'!$B$3:$C$3,0)+1,FALSE),1)</f>
        <v>4.6693734967074574E-2</v>
      </c>
      <c r="V86" s="29">
        <f ca="1">VLOOKUP($C86,$D$50:$Z$51,V$56+1,FALSE)*$D$65*$A86/8760/1000*IF($C86="Manufactured",IF(RIGHT($D86,4)&lt;&gt;"ered",'HVAC weighting'!$G$17,'HVAC weighting'!$G$18),IF(RIGHT($D86,4)&lt;&gt;"ered",'HVAC weighting'!$G$23,'HVAC weighting'!$G$24))*IFERROR(VLOOKUP(RIGHT('SC-NR'!$D86,4),'HVAC weighting'!$A$3:$C$8,MATCH('SC-NR'!$C86,'HVAC weighting'!$B$3:$C$3,0)+1,FALSE),1)</f>
        <v>4.6737384068140743E-2</v>
      </c>
      <c r="W86" s="29">
        <f ca="1">VLOOKUP($C86,$D$50:$Z$51,W$56+1,FALSE)*$D$65*$A86/8760/1000*IF($C86="Manufactured",IF(RIGHT($D86,4)&lt;&gt;"ered",'HVAC weighting'!$G$17,'HVAC weighting'!$G$18),IF(RIGHT($D86,4)&lt;&gt;"ered",'HVAC weighting'!$G$23,'HVAC weighting'!$G$24))*IFERROR(VLOOKUP(RIGHT('SC-NR'!$D86,4),'HVAC weighting'!$A$3:$C$8,MATCH('SC-NR'!$C86,'HVAC weighting'!$B$3:$C$3,0)+1,FALSE),1)</f>
        <v>4.6337992941620013E-2</v>
      </c>
      <c r="X86" s="29">
        <f ca="1">VLOOKUP($C86,$D$50:$Z$51,X$56+1,FALSE)*$D$65*$A86/8760/1000*IF($C86="Manufactured",IF(RIGHT($D86,4)&lt;&gt;"ered",'HVAC weighting'!$G$17,'HVAC weighting'!$G$18),IF(RIGHT($D86,4)&lt;&gt;"ered",'HVAC weighting'!$G$23,'HVAC weighting'!$G$24))*IFERROR(VLOOKUP(RIGHT('SC-NR'!$D86,4),'HVAC weighting'!$A$3:$C$8,MATCH('SC-NR'!$C86,'HVAC weighting'!$B$3:$C$3,0)+1,FALSE),1)</f>
        <v>4.5843422097114832E-2</v>
      </c>
      <c r="Y86" s="29">
        <f ca="1">(VLOOKUP($C86,$D$37:$Z$38,$X$56+3,FALSE)+VLOOKUP($C86,$D$43:$Z$44,$X$56+3,FALSE))*$A86*$D$65/8760/1000*IF($C86="Manufactured",IF(RIGHT($D86,4)&lt;&gt;"ered",'HVAC weighting'!$G$17,'HVAC weighting'!$G$18),IF(RIGHT($D86,4)&lt;&gt;"ered",'HVAC weighting'!$G$23,'HVAC weighting'!$G$24))*IFERROR(VLOOKUP(RIGHT('SC-NR'!$D86,4),'HVAC weighting'!$A$3:$C$8,MATCH('SC-NR'!$C86,'HVAC weighting'!$B$3:$C$3,0)+1,FALSE),1)</f>
        <v>0.57940501039724202</v>
      </c>
      <c r="AA86" s="29">
        <f t="shared" ca="1" si="28"/>
        <v>0.50122426157440514</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c r="A87" s="58">
        <f t="shared" si="25"/>
        <v>32.764624802907406</v>
      </c>
      <c r="B87" s="58">
        <f t="shared" si="26"/>
        <v>4262.5491729940195</v>
      </c>
      <c r="C87" s="7" t="str">
        <f t="shared" si="29"/>
        <v>Manufactured</v>
      </c>
      <c r="D87" s="7" t="s">
        <v>493</v>
      </c>
      <c r="E87" s="29">
        <f ca="1">VLOOKUP($C87,$D$50:$Z$51,E$56+1,FALSE)*$D$65*$A87/8760/1000*IF($C87="Manufactured",IF(RIGHT($D87,4)&lt;&gt;"ered",'HVAC weighting'!$G$17,'HVAC weighting'!$G$18),IF(RIGHT($D87,4)&lt;&gt;"ered",'HVAC weighting'!$G$23,'HVAC weighting'!$G$24))*IFERROR(VLOOKUP(RIGHT('SC-NR'!$D87,4),'HVAC weighting'!$A$3:$C$8,MATCH('SC-NR'!$C87,'HVAC weighting'!$B$3:$C$3,0)+1,FALSE),1)</f>
        <v>2.0186998276954891E-5</v>
      </c>
      <c r="F87" s="29">
        <f ca="1">VLOOKUP($C87,$D$50:$Z$51,F$56+1,FALSE)*$D$65*$A87/8760/1000*IF($C87="Manufactured",IF(RIGHT($D87,4)&lt;&gt;"ered",'HVAC weighting'!$G$17,'HVAC weighting'!$G$18),IF(RIGHT($D87,4)&lt;&gt;"ered",'HVAC weighting'!$G$23,'HVAC weighting'!$G$24))*IFERROR(VLOOKUP(RIGHT('SC-NR'!$D87,4),'HVAC weighting'!$A$3:$C$8,MATCH('SC-NR'!$C87,'HVAC weighting'!$B$3:$C$3,0)+1,FALSE),1)</f>
        <v>5.1364227267098063E-5</v>
      </c>
      <c r="G87" s="29">
        <f ca="1">VLOOKUP($C87,$D$50:$Z$51,G$56+1,FALSE)*$D$65*$A87/8760/1000*IF($C87="Manufactured",IF(RIGHT($D87,4)&lt;&gt;"ered",'HVAC weighting'!$G$17,'HVAC weighting'!$G$18),IF(RIGHT($D87,4)&lt;&gt;"ered",'HVAC weighting'!$G$23,'HVAC weighting'!$G$24))*IFERROR(VLOOKUP(RIGHT('SC-NR'!$D87,4),'HVAC weighting'!$A$3:$C$8,MATCH('SC-NR'!$C87,'HVAC weighting'!$B$3:$C$3,0)+1,FALSE),1)</f>
        <v>1.1293024036915326E-4</v>
      </c>
      <c r="H87" s="29">
        <f ca="1">VLOOKUP($C87,$D$50:$Z$51,H$56+1,FALSE)*$D$65*$A87/8760/1000*IF($C87="Manufactured",IF(RIGHT($D87,4)&lt;&gt;"ered",'HVAC weighting'!$G$17,'HVAC weighting'!$G$18),IF(RIGHT($D87,4)&lt;&gt;"ered",'HVAC weighting'!$G$23,'HVAC weighting'!$G$24))*IFERROR(VLOOKUP(RIGHT('SC-NR'!$D87,4),'HVAC weighting'!$A$3:$C$8,MATCH('SC-NR'!$C87,'HVAC weighting'!$B$3:$C$3,0)+1,FALSE),1)</f>
        <v>2.1926281704762036E-4</v>
      </c>
      <c r="I87" s="29">
        <f ca="1">VLOOKUP($C87,$D$50:$Z$51,I$56+1,FALSE)*$D$65*$A87/8760/1000*IF($C87="Manufactured",IF(RIGHT($D87,4)&lt;&gt;"ered",'HVAC weighting'!$G$17,'HVAC weighting'!$G$18),IF(RIGHT($D87,4)&lt;&gt;"ered",'HVAC weighting'!$G$23,'HVAC weighting'!$G$24))*IFERROR(VLOOKUP(RIGHT('SC-NR'!$D87,4),'HVAC weighting'!$A$3:$C$8,MATCH('SC-NR'!$C87,'HVAC weighting'!$B$3:$C$3,0)+1,FALSE),1)</f>
        <v>3.8241540608249396E-4</v>
      </c>
      <c r="J87" s="29">
        <f ca="1">VLOOKUP($C87,$D$50:$Z$51,J$56+1,FALSE)*$D$65*$A87/8760/1000*IF($C87="Manufactured",IF(RIGHT($D87,4)&lt;&gt;"ered",'HVAC weighting'!$G$17,'HVAC weighting'!$G$18),IF(RIGHT($D87,4)&lt;&gt;"ered",'HVAC weighting'!$G$23,'HVAC weighting'!$G$24))*IFERROR(VLOOKUP(RIGHT('SC-NR'!$D87,4),'HVAC weighting'!$A$3:$C$8,MATCH('SC-NR'!$C87,'HVAC weighting'!$B$3:$C$3,0)+1,FALSE),1)</f>
        <v>6.0754661208041515E-4</v>
      </c>
      <c r="K87" s="29">
        <f ca="1">VLOOKUP($C87,$D$50:$Z$51,K$56+1,FALSE)*$D$65*$A87/8760/1000*IF($C87="Manufactured",IF(RIGHT($D87,4)&lt;&gt;"ered",'HVAC weighting'!$G$17,'HVAC weighting'!$G$18),IF(RIGHT($D87,4)&lt;&gt;"ered",'HVAC weighting'!$G$23,'HVAC weighting'!$G$24))*IFERROR(VLOOKUP(RIGHT('SC-NR'!$D87,4),'HVAC weighting'!$A$3:$C$8,MATCH('SC-NR'!$C87,'HVAC weighting'!$B$3:$C$3,0)+1,FALSE),1)</f>
        <v>8.8966812723080741E-4</v>
      </c>
      <c r="L87" s="29">
        <f ca="1">VLOOKUP($C87,$D$50:$Z$51,L$56+1,FALSE)*$D$65*$A87/8760/1000*IF($C87="Manufactured",IF(RIGHT($D87,4)&lt;&gt;"ered",'HVAC weighting'!$G$17,'HVAC weighting'!$G$18),IF(RIGHT($D87,4)&lt;&gt;"ered",'HVAC weighting'!$G$23,'HVAC weighting'!$G$24))*IFERROR(VLOOKUP(RIGHT('SC-NR'!$D87,4),'HVAC weighting'!$A$3:$C$8,MATCH('SC-NR'!$C87,'HVAC weighting'!$B$3:$C$3,0)+1,FALSE),1)</f>
        <v>1.2132785191340844E-3</v>
      </c>
      <c r="M87" s="29">
        <f ca="1">VLOOKUP($C87,$D$50:$Z$51,M$56+1,FALSE)*$D$65*$A87/8760/1000*IF($C87="Manufactured",IF(RIGHT($D87,4)&lt;&gt;"ered",'HVAC weighting'!$G$17,'HVAC weighting'!$G$18),IF(RIGHT($D87,4)&lt;&gt;"ered",'HVAC weighting'!$G$23,'HVAC weighting'!$G$24))*IFERROR(VLOOKUP(RIGHT('SC-NR'!$D87,4),'HVAC weighting'!$A$3:$C$8,MATCH('SC-NR'!$C87,'HVAC weighting'!$B$3:$C$3,0)+1,FALSE),1)</f>
        <v>1.5552210940718552E-3</v>
      </c>
      <c r="N87" s="29">
        <f ca="1">VLOOKUP($C87,$D$50:$Z$51,N$56+1,FALSE)*$D$65*$A87/8760/1000*IF($C87="Manufactured",IF(RIGHT($D87,4)&lt;&gt;"ered",'HVAC weighting'!$G$17,'HVAC weighting'!$G$18),IF(RIGHT($D87,4)&lt;&gt;"ered",'HVAC weighting'!$G$23,'HVAC weighting'!$G$24))*IFERROR(VLOOKUP(RIGHT('SC-NR'!$D87,4),'HVAC weighting'!$A$3:$C$8,MATCH('SC-NR'!$C87,'HVAC weighting'!$B$3:$C$3,0)+1,FALSE),1)</f>
        <v>1.889716427082857E-3</v>
      </c>
      <c r="O87" s="29">
        <f ca="1">VLOOKUP($C87,$D$50:$Z$51,O$56+1,FALSE)*$D$65*$A87/8760/1000*IF($C87="Manufactured",IF(RIGHT($D87,4)&lt;&gt;"ered",'HVAC weighting'!$G$17,'HVAC weighting'!$G$18),IF(RIGHT($D87,4)&lt;&gt;"ered",'HVAC weighting'!$G$23,'HVAC weighting'!$G$24))*IFERROR(VLOOKUP(RIGHT('SC-NR'!$D87,4),'HVAC weighting'!$A$3:$C$8,MATCH('SC-NR'!$C87,'HVAC weighting'!$B$3:$C$3,0)+1,FALSE),1)</f>
        <v>2.1937270689254725E-3</v>
      </c>
      <c r="P87" s="29">
        <f ca="1">VLOOKUP($C87,$D$50:$Z$51,P$56+1,FALSE)*$D$65*$A87/8760/1000*IF($C87="Manufactured",IF(RIGHT($D87,4)&lt;&gt;"ered",'HVAC weighting'!$G$17,'HVAC weighting'!$G$18),IF(RIGHT($D87,4)&lt;&gt;"ered",'HVAC weighting'!$G$23,'HVAC weighting'!$G$24))*IFERROR(VLOOKUP(RIGHT('SC-NR'!$D87,4),'HVAC weighting'!$A$3:$C$8,MATCH('SC-NR'!$C87,'HVAC weighting'!$B$3:$C$3,0)+1,FALSE),1)</f>
        <v>2.4509313140387047E-3</v>
      </c>
      <c r="Q87" s="29">
        <f ca="1">VLOOKUP($C87,$D$50:$Z$51,Q$56+1,FALSE)*$D$65*$A87/8760/1000*IF($C87="Manufactured",IF(RIGHT($D87,4)&lt;&gt;"ered",'HVAC weighting'!$G$17,'HVAC weighting'!$G$18),IF(RIGHT($D87,4)&lt;&gt;"ered",'HVAC weighting'!$G$23,'HVAC weighting'!$G$24))*IFERROR(VLOOKUP(RIGHT('SC-NR'!$D87,4),'HVAC weighting'!$A$3:$C$8,MATCH('SC-NR'!$C87,'HVAC weighting'!$B$3:$C$3,0)+1,FALSE),1)</f>
        <v>2.6533905999501545E-3</v>
      </c>
      <c r="R87" s="29">
        <f ca="1">VLOOKUP($C87,$D$50:$Z$51,R$56+1,FALSE)*$D$65*$A87/8760/1000*IF($C87="Manufactured",IF(RIGHT($D87,4)&lt;&gt;"ered",'HVAC weighting'!$G$17,'HVAC weighting'!$G$18),IF(RIGHT($D87,4)&lt;&gt;"ered",'HVAC weighting'!$G$23,'HVAC weighting'!$G$24))*IFERROR(VLOOKUP(RIGHT('SC-NR'!$D87,4),'HVAC weighting'!$A$3:$C$8,MATCH('SC-NR'!$C87,'HVAC weighting'!$B$3:$C$3,0)+1,FALSE),1)</f>
        <v>2.9372162381948331E-3</v>
      </c>
      <c r="S87" s="29">
        <f ca="1">VLOOKUP($C87,$D$50:$Z$51,S$56+1,FALSE)*$D$65*$A87/8760/1000*IF($C87="Manufactured",IF(RIGHT($D87,4)&lt;&gt;"ered",'HVAC weighting'!$G$17,'HVAC weighting'!$G$18),IF(RIGHT($D87,4)&lt;&gt;"ered",'HVAC weighting'!$G$23,'HVAC weighting'!$G$24))*IFERROR(VLOOKUP(RIGHT('SC-NR'!$D87,4),'HVAC weighting'!$A$3:$C$8,MATCH('SC-NR'!$C87,'HVAC weighting'!$B$3:$C$3,0)+1,FALSE),1)</f>
        <v>3.0417625090067759E-3</v>
      </c>
      <c r="T87" s="29">
        <f ca="1">VLOOKUP($C87,$D$50:$Z$51,T$56+1,FALSE)*$D$65*$A87/8760/1000*IF($C87="Manufactured",IF(RIGHT($D87,4)&lt;&gt;"ered",'HVAC weighting'!$G$17,'HVAC weighting'!$G$18),IF(RIGHT($D87,4)&lt;&gt;"ered",'HVAC weighting'!$G$23,'HVAC weighting'!$G$24))*IFERROR(VLOOKUP(RIGHT('SC-NR'!$D87,4),'HVAC weighting'!$A$3:$C$8,MATCH('SC-NR'!$C87,'HVAC weighting'!$B$3:$C$3,0)+1,FALSE),1)</f>
        <v>3.1071026725172576E-3</v>
      </c>
      <c r="U87" s="29">
        <f ca="1">VLOOKUP($C87,$D$50:$Z$51,U$56+1,FALSE)*$D$65*$A87/8760/1000*IF($C87="Manufactured",IF(RIGHT($D87,4)&lt;&gt;"ered",'HVAC weighting'!$G$17,'HVAC weighting'!$G$18),IF(RIGHT($D87,4)&lt;&gt;"ered",'HVAC weighting'!$G$23,'HVAC weighting'!$G$24))*IFERROR(VLOOKUP(RIGHT('SC-NR'!$D87,4),'HVAC weighting'!$A$3:$C$8,MATCH('SC-NR'!$C87,'HVAC weighting'!$B$3:$C$3,0)+1,FALSE),1)</f>
        <v>3.138737588047529E-3</v>
      </c>
      <c r="V87" s="29">
        <f ca="1">VLOOKUP($C87,$D$50:$Z$51,V$56+1,FALSE)*$D$65*$A87/8760/1000*IF($C87="Manufactured",IF(RIGHT($D87,4)&lt;&gt;"ered",'HVAC weighting'!$G$17,'HVAC weighting'!$G$18),IF(RIGHT($D87,4)&lt;&gt;"ered",'HVAC weighting'!$G$23,'HVAC weighting'!$G$24))*IFERROR(VLOOKUP(RIGHT('SC-NR'!$D87,4),'HVAC weighting'!$A$3:$C$8,MATCH('SC-NR'!$C87,'HVAC weighting'!$B$3:$C$3,0)+1,FALSE),1)</f>
        <v>3.1347703010194071E-3</v>
      </c>
      <c r="W87" s="29">
        <f ca="1">VLOOKUP($C87,$D$50:$Z$51,W$56+1,FALSE)*$D$65*$A87/8760/1000*IF($C87="Manufactured",IF(RIGHT($D87,4)&lt;&gt;"ered",'HVAC weighting'!$G$17,'HVAC weighting'!$G$18),IF(RIGHT($D87,4)&lt;&gt;"ered",'HVAC weighting'!$G$23,'HVAC weighting'!$G$24))*IFERROR(VLOOKUP(RIGHT('SC-NR'!$D87,4),'HVAC weighting'!$A$3:$C$8,MATCH('SC-NR'!$C87,'HVAC weighting'!$B$3:$C$3,0)+1,FALSE),1)</f>
        <v>3.1153310956407308E-3</v>
      </c>
      <c r="X87" s="29">
        <f ca="1">VLOOKUP($C87,$D$50:$Z$51,X$56+1,FALSE)*$D$65*$A87/8760/1000*IF($C87="Manufactured",IF(RIGHT($D87,4)&lt;&gt;"ered",'HVAC weighting'!$G$17,'HVAC weighting'!$G$18),IF(RIGHT($D87,4)&lt;&gt;"ered",'HVAC weighting'!$G$23,'HVAC weighting'!$G$24))*IFERROR(VLOOKUP(RIGHT('SC-NR'!$D87,4),'HVAC weighting'!$A$3:$C$8,MATCH('SC-NR'!$C87,'HVAC weighting'!$B$3:$C$3,0)+1,FALSE),1)</f>
        <v>3.0864743646908618E-3</v>
      </c>
      <c r="Y87" s="29">
        <f ca="1">(VLOOKUP($C87,$D$37:$Z$38,$X$56+3,FALSE)+VLOOKUP($C87,$D$43:$Z$44,$X$56+3,FALSE))*$A87*$D$65/8760/1000*IF($C87="Manufactured",IF(RIGHT($D87,4)&lt;&gt;"ered",'HVAC weighting'!$G$17,'HVAC weighting'!$G$18),IF(RIGHT($D87,4)&lt;&gt;"ered",'HVAC weighting'!$G$23,'HVAC weighting'!$G$24))*IFERROR(VLOOKUP(RIGHT('SC-NR'!$D87,4),'HVAC weighting'!$A$3:$C$8,MATCH('SC-NR'!$C87,'HVAC weighting'!$B$3:$C$3,0)+1,FALSE),1)</f>
        <v>3.9716064388252377E-2</v>
      </c>
      <c r="AA87" s="29">
        <f t="shared" ca="1" si="28"/>
        <v>3.5801034220675064E-2</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A88" s="58">
        <f t="shared" si="25"/>
        <v>31.639902913345086</v>
      </c>
      <c r="B88" s="58">
        <f t="shared" si="26"/>
        <v>4415.4378199361927</v>
      </c>
      <c r="C88" s="7" t="str">
        <f t="shared" si="29"/>
        <v>Single Family</v>
      </c>
      <c r="D88" s="7" t="s">
        <v>482</v>
      </c>
      <c r="E88" s="29">
        <f ca="1">VLOOKUP($C88,$D$50:$Z$51,E$56+1,FALSE)*$D$65*$A88/8760/1000*IF($C88="Manufactured",IF(RIGHT($D88,4)&lt;&gt;"ered",'HVAC weighting'!$G$17,'HVAC weighting'!$G$18),IF(RIGHT($D88,4)&lt;&gt;"ered",'HVAC weighting'!$G$23,'HVAC weighting'!$G$24))*IFERROR(VLOOKUP(RIGHT('SC-NR'!$D88,4),'HVAC weighting'!$A$3:$C$8,MATCH('SC-NR'!$C88,'HVAC weighting'!$B$3:$C$3,0)+1,FALSE),1)</f>
        <v>1.5220256374972522E-4</v>
      </c>
      <c r="F88" s="29">
        <f ca="1">VLOOKUP($C88,$D$50:$Z$51,F$56+1,FALSE)*$D$65*$A88/8760/1000*IF($C88="Manufactured",IF(RIGHT($D88,4)&lt;&gt;"ered",'HVAC weighting'!$G$17,'HVAC weighting'!$G$18),IF(RIGHT($D88,4)&lt;&gt;"ered",'HVAC weighting'!$G$23,'HVAC weighting'!$G$24))*IFERROR(VLOOKUP(RIGHT('SC-NR'!$D88,4),'HVAC weighting'!$A$3:$C$8,MATCH('SC-NR'!$C88,'HVAC weighting'!$B$3:$C$3,0)+1,FALSE),1)</f>
        <v>3.9056196739604114E-4</v>
      </c>
      <c r="G88" s="29">
        <f ca="1">VLOOKUP($C88,$D$50:$Z$51,G$56+1,FALSE)*$D$65*$A88/8760/1000*IF($C88="Manufactured",IF(RIGHT($D88,4)&lt;&gt;"ered",'HVAC weighting'!$G$17,'HVAC weighting'!$G$18),IF(RIGHT($D88,4)&lt;&gt;"ered",'HVAC weighting'!$G$23,'HVAC weighting'!$G$24))*IFERROR(VLOOKUP(RIGHT('SC-NR'!$D88,4),'HVAC weighting'!$A$3:$C$8,MATCH('SC-NR'!$C88,'HVAC weighting'!$B$3:$C$3,0)+1,FALSE),1)</f>
        <v>8.6600103754467151E-4</v>
      </c>
      <c r="H88" s="29">
        <f ca="1">VLOOKUP($C88,$D$50:$Z$51,H$56+1,FALSE)*$D$65*$A88/8760/1000*IF($C88="Manufactured",IF(RIGHT($D88,4)&lt;&gt;"ered",'HVAC weighting'!$G$17,'HVAC weighting'!$G$18),IF(RIGHT($D88,4)&lt;&gt;"ered",'HVAC weighting'!$G$23,'HVAC weighting'!$G$24))*IFERROR(VLOOKUP(RIGHT('SC-NR'!$D88,4),'HVAC weighting'!$A$3:$C$8,MATCH('SC-NR'!$C88,'HVAC weighting'!$B$3:$C$3,0)+1,FALSE),1)</f>
        <v>1.6957120966534453E-3</v>
      </c>
      <c r="I88" s="29">
        <f ca="1">VLOOKUP($C88,$D$50:$Z$51,I$56+1,FALSE)*$D$65*$A88/8760/1000*IF($C88="Manufactured",IF(RIGHT($D88,4)&lt;&gt;"ered",'HVAC weighting'!$G$17,'HVAC weighting'!$G$18),IF(RIGHT($D88,4)&lt;&gt;"ered",'HVAC weighting'!$G$23,'HVAC weighting'!$G$24))*IFERROR(VLOOKUP(RIGHT('SC-NR'!$D88,4),'HVAC weighting'!$A$3:$C$8,MATCH('SC-NR'!$C88,'HVAC weighting'!$B$3:$C$3,0)+1,FALSE),1)</f>
        <v>2.9826443945687306E-3</v>
      </c>
      <c r="J88" s="29">
        <f ca="1">VLOOKUP($C88,$D$50:$Z$51,J$56+1,FALSE)*$D$65*$A88/8760/1000*IF($C88="Manufactured",IF(RIGHT($D88,4)&lt;&gt;"ered",'HVAC weighting'!$G$17,'HVAC weighting'!$G$18),IF(RIGHT($D88,4)&lt;&gt;"ered",'HVAC weighting'!$G$23,'HVAC weighting'!$G$24))*IFERROR(VLOOKUP(RIGHT('SC-NR'!$D88,4),'HVAC weighting'!$A$3:$C$8,MATCH('SC-NR'!$C88,'HVAC weighting'!$B$3:$C$3,0)+1,FALSE),1)</f>
        <v>4.7788639864708785E-3</v>
      </c>
      <c r="K88" s="29">
        <f ca="1">VLOOKUP($C88,$D$50:$Z$51,K$56+1,FALSE)*$D$65*$A88/8760/1000*IF($C88="Manufactured",IF(RIGHT($D88,4)&lt;&gt;"ered",'HVAC weighting'!$G$17,'HVAC weighting'!$G$18),IF(RIGHT($D88,4)&lt;&gt;"ered",'HVAC weighting'!$G$23,'HVAC weighting'!$G$24))*IFERROR(VLOOKUP(RIGHT('SC-NR'!$D88,4),'HVAC weighting'!$A$3:$C$8,MATCH('SC-NR'!$C88,'HVAC weighting'!$B$3:$C$3,0)+1,FALSE),1)</f>
        <v>7.0575191884267403E-3</v>
      </c>
      <c r="L88" s="29">
        <f ca="1">VLOOKUP($C88,$D$50:$Z$51,L$56+1,FALSE)*$D$65*$A88/8760/1000*IF($C88="Manufactured",IF(RIGHT($D88,4)&lt;&gt;"ered",'HVAC weighting'!$G$17,'HVAC weighting'!$G$18),IF(RIGHT($D88,4)&lt;&gt;"ered",'HVAC weighting'!$G$23,'HVAC weighting'!$G$24))*IFERROR(VLOOKUP(RIGHT('SC-NR'!$D88,4),'HVAC weighting'!$A$3:$C$8,MATCH('SC-NR'!$C88,'HVAC weighting'!$B$3:$C$3,0)+1,FALSE),1)</f>
        <v>9.7065190910605951E-3</v>
      </c>
      <c r="M88" s="29">
        <f ca="1">VLOOKUP($C88,$D$50:$Z$51,M$56+1,FALSE)*$D$65*$A88/8760/1000*IF($C88="Manufactured",IF(RIGHT($D88,4)&lt;&gt;"ered",'HVAC weighting'!$G$17,'HVAC weighting'!$G$18),IF(RIGHT($D88,4)&lt;&gt;"ered",'HVAC weighting'!$G$23,'HVAC weighting'!$G$24))*IFERROR(VLOOKUP(RIGHT('SC-NR'!$D88,4),'HVAC weighting'!$A$3:$C$8,MATCH('SC-NR'!$C88,'HVAC weighting'!$B$3:$C$3,0)+1,FALSE),1)</f>
        <v>1.2547988487230047E-2</v>
      </c>
      <c r="N88" s="29">
        <f ca="1">VLOOKUP($C88,$D$50:$Z$51,N$56+1,FALSE)*$D$65*$A88/8760/1000*IF($C88="Manufactured",IF(RIGHT($D88,4)&lt;&gt;"ered",'HVAC weighting'!$G$17,'HVAC weighting'!$G$18),IF(RIGHT($D88,4)&lt;&gt;"ered",'HVAC weighting'!$G$23,'HVAC weighting'!$G$24))*IFERROR(VLOOKUP(RIGHT('SC-NR'!$D88,4),'HVAC weighting'!$A$3:$C$8,MATCH('SC-NR'!$C88,'HVAC weighting'!$B$3:$C$3,0)+1,FALSE),1)</f>
        <v>1.5376503121092341E-2</v>
      </c>
      <c r="O88" s="29">
        <f ca="1">VLOOKUP($C88,$D$50:$Z$51,O$56+1,FALSE)*$D$65*$A88/8760/1000*IF($C88="Manufactured",IF(RIGHT($D88,4)&lt;&gt;"ered",'HVAC weighting'!$G$17,'HVAC weighting'!$G$18),IF(RIGHT($D88,4)&lt;&gt;"ered",'HVAC weighting'!$G$23,'HVAC weighting'!$G$24))*IFERROR(VLOOKUP(RIGHT('SC-NR'!$D88,4),'HVAC weighting'!$A$3:$C$8,MATCH('SC-NR'!$C88,'HVAC weighting'!$B$3:$C$3,0)+1,FALSE),1)</f>
        <v>1.8002072460269442E-2</v>
      </c>
      <c r="P88" s="29">
        <f ca="1">VLOOKUP($C88,$D$50:$Z$51,P$56+1,FALSE)*$D$65*$A88/8760/1000*IF($C88="Manufactured",IF(RIGHT($D88,4)&lt;&gt;"ered",'HVAC weighting'!$G$17,'HVAC weighting'!$G$18),IF(RIGHT($D88,4)&lt;&gt;"ered",'HVAC weighting'!$G$23,'HVAC weighting'!$G$24))*IFERROR(VLOOKUP(RIGHT('SC-NR'!$D88,4),'HVAC weighting'!$A$3:$C$8,MATCH('SC-NR'!$C88,'HVAC weighting'!$B$3:$C$3,0)+1,FALSE),1)</f>
        <v>2.0283832744656213E-2</v>
      </c>
      <c r="Q88" s="29">
        <f ca="1">VLOOKUP($C88,$D$50:$Z$51,Q$56+1,FALSE)*$D$65*$A88/8760/1000*IF($C88="Manufactured",IF(RIGHT($D88,4)&lt;&gt;"ered",'HVAC weighting'!$G$17,'HVAC weighting'!$G$18),IF(RIGHT($D88,4)&lt;&gt;"ered",'HVAC weighting'!$G$23,'HVAC weighting'!$G$24))*IFERROR(VLOOKUP(RIGHT('SC-NR'!$D88,4),'HVAC weighting'!$A$3:$C$8,MATCH('SC-NR'!$C88,'HVAC weighting'!$B$3:$C$3,0)+1,FALSE),1)</f>
        <v>2.2146190707133293E-2</v>
      </c>
      <c r="R88" s="29">
        <f ca="1">VLOOKUP($C88,$D$50:$Z$51,R$56+1,FALSE)*$D$65*$A88/8760/1000*IF($C88="Manufactured",IF(RIGHT($D88,4)&lt;&gt;"ered",'HVAC weighting'!$G$17,'HVAC weighting'!$G$18),IF(RIGHT($D88,4)&lt;&gt;"ered",'HVAC weighting'!$G$23,'HVAC weighting'!$G$24))*IFERROR(VLOOKUP(RIGHT('SC-NR'!$D88,4),'HVAC weighting'!$A$3:$C$8,MATCH('SC-NR'!$C88,'HVAC weighting'!$B$3:$C$3,0)+1,FALSE),1)</f>
        <v>2.8263659551209186E-2</v>
      </c>
      <c r="S88" s="29">
        <f ca="1">VLOOKUP($C88,$D$50:$Z$51,S$56+1,FALSE)*$D$65*$A88/8760/1000*IF($C88="Manufactured",IF(RIGHT($D88,4)&lt;&gt;"ered",'HVAC weighting'!$G$17,'HVAC weighting'!$G$18),IF(RIGHT($D88,4)&lt;&gt;"ered",'HVAC weighting'!$G$23,'HVAC weighting'!$G$24))*IFERROR(VLOOKUP(RIGHT('SC-NR'!$D88,4),'HVAC weighting'!$A$3:$C$8,MATCH('SC-NR'!$C88,'HVAC weighting'!$B$3:$C$3,0)+1,FALSE),1)</f>
        <v>2.9269656350355763E-2</v>
      </c>
      <c r="T88" s="29">
        <f ca="1">VLOOKUP($C88,$D$50:$Z$51,T$56+1,FALSE)*$D$65*$A88/8760/1000*IF($C88="Manufactured",IF(RIGHT($D88,4)&lt;&gt;"ered",'HVAC weighting'!$G$17,'HVAC weighting'!$G$18),IF(RIGHT($D88,4)&lt;&gt;"ered",'HVAC weighting'!$G$23,'HVAC weighting'!$G$24))*IFERROR(VLOOKUP(RIGHT('SC-NR'!$D88,4),'HVAC weighting'!$A$3:$C$8,MATCH('SC-NR'!$C88,'HVAC weighting'!$B$3:$C$3,0)+1,FALSE),1)</f>
        <v>2.9803316925549189E-2</v>
      </c>
      <c r="U88" s="29">
        <f ca="1">VLOOKUP($C88,$D$50:$Z$51,U$56+1,FALSE)*$D$65*$A88/8760/1000*IF($C88="Manufactured",IF(RIGHT($D88,4)&lt;&gt;"ered",'HVAC weighting'!$G$17,'HVAC weighting'!$G$18),IF(RIGHT($D88,4)&lt;&gt;"ered",'HVAC weighting'!$G$23,'HVAC weighting'!$G$24))*IFERROR(VLOOKUP(RIGHT('SC-NR'!$D88,4),'HVAC weighting'!$A$3:$C$8,MATCH('SC-NR'!$C88,'HVAC weighting'!$B$3:$C$3,0)+1,FALSE),1)</f>
        <v>3.0081016870357389E-2</v>
      </c>
      <c r="V88" s="29">
        <f ca="1">VLOOKUP($C88,$D$50:$Z$51,V$56+1,FALSE)*$D$65*$A88/8760/1000*IF($C88="Manufactured",IF(RIGHT($D88,4)&lt;&gt;"ered",'HVAC weighting'!$G$17,'HVAC weighting'!$G$18),IF(RIGHT($D88,4)&lt;&gt;"ered",'HVAC weighting'!$G$23,'HVAC weighting'!$G$24))*IFERROR(VLOOKUP(RIGHT('SC-NR'!$D88,4),'HVAC weighting'!$A$3:$C$8,MATCH('SC-NR'!$C88,'HVAC weighting'!$B$3:$C$3,0)+1,FALSE),1)</f>
        <v>3.0109136474549974E-2</v>
      </c>
      <c r="W88" s="29">
        <f ca="1">VLOOKUP($C88,$D$50:$Z$51,W$56+1,FALSE)*$D$65*$A88/8760/1000*IF($C88="Manufactured",IF(RIGHT($D88,4)&lt;&gt;"ered",'HVAC weighting'!$G$17,'HVAC weighting'!$G$18),IF(RIGHT($D88,4)&lt;&gt;"ered",'HVAC weighting'!$G$23,'HVAC weighting'!$G$24))*IFERROR(VLOOKUP(RIGHT('SC-NR'!$D88,4),'HVAC weighting'!$A$3:$C$8,MATCH('SC-NR'!$C88,'HVAC weighting'!$B$3:$C$3,0)+1,FALSE),1)</f>
        <v>2.985184090324448E-2</v>
      </c>
      <c r="X88" s="29">
        <f ca="1">VLOOKUP($C88,$D$50:$Z$51,X$56+1,FALSE)*$D$65*$A88/8760/1000*IF($C88="Manufactured",IF(RIGHT($D88,4)&lt;&gt;"ered",'HVAC weighting'!$G$17,'HVAC weighting'!$G$18),IF(RIGHT($D88,4)&lt;&gt;"ered",'HVAC weighting'!$G$23,'HVAC weighting'!$G$24))*IFERROR(VLOOKUP(RIGHT('SC-NR'!$D88,4),'HVAC weighting'!$A$3:$C$8,MATCH('SC-NR'!$C88,'HVAC weighting'!$B$3:$C$3,0)+1,FALSE),1)</f>
        <v>2.9533228696968023E-2</v>
      </c>
      <c r="Y88" s="29">
        <f ca="1">(VLOOKUP($C88,$D$37:$Z$38,$X$56+3,FALSE)+VLOOKUP($C88,$D$43:$Z$44,$X$56+3,FALSE))*$A88*$D$65/8760/1000*IF($C88="Manufactured",IF(RIGHT($D88,4)&lt;&gt;"ered",'HVAC weighting'!$G$17,'HVAC weighting'!$G$18),IF(RIGHT($D88,4)&lt;&gt;"ered",'HVAC weighting'!$G$23,'HVAC weighting'!$G$24))*IFERROR(VLOOKUP(RIGHT('SC-NR'!$D88,4),'HVAC weighting'!$A$3:$C$8,MATCH('SC-NR'!$C88,'HVAC weighting'!$B$3:$C$3,0)+1,FALSE),1)</f>
        <v>0.37326403434676864</v>
      </c>
      <c r="AA88" s="29">
        <f ca="1">SUM(E88:X88)</f>
        <v>0.32289846761848617</v>
      </c>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A89" s="58">
        <f t="shared" si="25"/>
        <v>25.501566796410994</v>
      </c>
      <c r="B89" s="58">
        <f t="shared" si="26"/>
        <v>5512.2395219051987</v>
      </c>
      <c r="C89" s="7" t="str">
        <f t="shared" si="29"/>
        <v>Manufactured</v>
      </c>
      <c r="D89" s="7" t="s">
        <v>491</v>
      </c>
      <c r="E89" s="29">
        <f ca="1">VLOOKUP($C89,$D$50:$Z$51,E$56+1,FALSE)*$D$65*$A89/8760/1000*IF($C89="Manufactured",IF(RIGHT($D89,4)&lt;&gt;"ered",'HVAC weighting'!$G$17,'HVAC weighting'!$G$18),IF(RIGHT($D89,4)&lt;&gt;"ered",'HVAC weighting'!$G$23,'HVAC weighting'!$G$24))*IFERROR(VLOOKUP(RIGHT('SC-NR'!$D89,4),'HVAC weighting'!$A$3:$C$8,MATCH('SC-NR'!$C89,'HVAC weighting'!$B$3:$C$3,0)+1,FALSE),1)</f>
        <v>2.0126941757622434E-4</v>
      </c>
      <c r="F89" s="29">
        <f ca="1">VLOOKUP($C89,$D$50:$Z$51,F$56+1,FALSE)*$D$65*$A89/8760/1000*IF($C89="Manufactured",IF(RIGHT($D89,4)&lt;&gt;"ered",'HVAC weighting'!$G$17,'HVAC weighting'!$G$18),IF(RIGHT($D89,4)&lt;&gt;"ered",'HVAC weighting'!$G$23,'HVAC weighting'!$G$24))*IFERROR(VLOOKUP(RIGHT('SC-NR'!$D89,4),'HVAC weighting'!$A$3:$C$8,MATCH('SC-NR'!$C89,'HVAC weighting'!$B$3:$C$3,0)+1,FALSE),1)</f>
        <v>5.1211418183471963E-4</v>
      </c>
      <c r="G89" s="29">
        <f ca="1">VLOOKUP($C89,$D$50:$Z$51,G$56+1,FALSE)*$D$65*$A89/8760/1000*IF($C89="Manufactured",IF(RIGHT($D89,4)&lt;&gt;"ered",'HVAC weighting'!$G$17,'HVAC weighting'!$G$18),IF(RIGHT($D89,4)&lt;&gt;"ered",'HVAC weighting'!$G$23,'HVAC weighting'!$G$24))*IFERROR(VLOOKUP(RIGHT('SC-NR'!$D89,4),'HVAC weighting'!$A$3:$C$8,MATCH('SC-NR'!$C89,'HVAC weighting'!$B$3:$C$3,0)+1,FALSE),1)</f>
        <v>1.1259427178824289E-3</v>
      </c>
      <c r="H89" s="29">
        <f ca="1">VLOOKUP($C89,$D$50:$Z$51,H$56+1,FALSE)*$D$65*$A89/8760/1000*IF($C89="Manufactured",IF(RIGHT($D89,4)&lt;&gt;"ered",'HVAC weighting'!$G$17,'HVAC weighting'!$G$18),IF(RIGHT($D89,4)&lt;&gt;"ered",'HVAC weighting'!$G$23,'HVAC weighting'!$G$24))*IFERROR(VLOOKUP(RIGHT('SC-NR'!$D89,4),'HVAC weighting'!$A$3:$C$8,MATCH('SC-NR'!$C89,'HVAC weighting'!$B$3:$C$3,0)+1,FALSE),1)</f>
        <v>2.1861050800046789E-3</v>
      </c>
      <c r="I89" s="29">
        <f ca="1">VLOOKUP($C89,$D$50:$Z$51,I$56+1,FALSE)*$D$65*$A89/8760/1000*IF($C89="Manufactured",IF(RIGHT($D89,4)&lt;&gt;"ered",'HVAC weighting'!$G$17,'HVAC weighting'!$G$18),IF(RIGHT($D89,4)&lt;&gt;"ered",'HVAC weighting'!$G$23,'HVAC weighting'!$G$24))*IFERROR(VLOOKUP(RIGHT('SC-NR'!$D89,4),'HVAC weighting'!$A$3:$C$8,MATCH('SC-NR'!$C89,'HVAC weighting'!$B$3:$C$3,0)+1,FALSE),1)</f>
        <v>3.8127771647092643E-3</v>
      </c>
      <c r="J89" s="29">
        <f ca="1">VLOOKUP($C89,$D$50:$Z$51,J$56+1,FALSE)*$D$65*$A89/8760/1000*IF($C89="Manufactured",IF(RIGHT($D89,4)&lt;&gt;"ered",'HVAC weighting'!$G$17,'HVAC weighting'!$G$18),IF(RIGHT($D89,4)&lt;&gt;"ered",'HVAC weighting'!$G$23,'HVAC weighting'!$G$24))*IFERROR(VLOOKUP(RIGHT('SC-NR'!$D89,4),'HVAC weighting'!$A$3:$C$8,MATCH('SC-NR'!$C89,'HVAC weighting'!$B$3:$C$3,0)+1,FALSE),1)</f>
        <v>6.0573915490658515E-3</v>
      </c>
      <c r="K89" s="29">
        <f ca="1">VLOOKUP($C89,$D$50:$Z$51,K$56+1,FALSE)*$D$65*$A89/8760/1000*IF($C89="Manufactured",IF(RIGHT($D89,4)&lt;&gt;"ered",'HVAC weighting'!$G$17,'HVAC weighting'!$G$18),IF(RIGHT($D89,4)&lt;&gt;"ered",'HVAC weighting'!$G$23,'HVAC weighting'!$G$24))*IFERROR(VLOOKUP(RIGHT('SC-NR'!$D89,4),'HVAC weighting'!$A$3:$C$8,MATCH('SC-NR'!$C89,'HVAC weighting'!$B$3:$C$3,0)+1,FALSE),1)</f>
        <v>8.8702135576189129E-3</v>
      </c>
      <c r="L89" s="29">
        <f ca="1">VLOOKUP($C89,$D$50:$Z$51,L$56+1,FALSE)*$D$65*$A89/8760/1000*IF($C89="Manufactured",IF(RIGHT($D89,4)&lt;&gt;"ered",'HVAC weighting'!$G$17,'HVAC weighting'!$G$18),IF(RIGHT($D89,4)&lt;&gt;"ered",'HVAC weighting'!$G$23,'HVAC weighting'!$G$24))*IFERROR(VLOOKUP(RIGHT('SC-NR'!$D89,4),'HVAC weighting'!$A$3:$C$8,MATCH('SC-NR'!$C89,'HVAC weighting'!$B$3:$C$3,0)+1,FALSE),1)</f>
        <v>1.209669003551809E-2</v>
      </c>
      <c r="M89" s="29">
        <f ca="1">VLOOKUP($C89,$D$50:$Z$51,M$56+1,FALSE)*$D$65*$A89/8760/1000*IF($C89="Manufactured",IF(RIGHT($D89,4)&lt;&gt;"ered",'HVAC weighting'!$G$17,'HVAC weighting'!$G$18),IF(RIGHT($D89,4)&lt;&gt;"ered",'HVAC weighting'!$G$23,'HVAC weighting'!$G$24))*IFERROR(VLOOKUP(RIGHT('SC-NR'!$D89,4),'HVAC weighting'!$A$3:$C$8,MATCH('SC-NR'!$C89,'HVAC weighting'!$B$3:$C$3,0)+1,FALSE),1)</f>
        <v>1.5505942959505616E-2</v>
      </c>
      <c r="N89" s="29">
        <f ca="1">VLOOKUP($C89,$D$50:$Z$51,N$56+1,FALSE)*$D$65*$A89/8760/1000*IF($C89="Manufactured",IF(RIGHT($D89,4)&lt;&gt;"ered",'HVAC weighting'!$G$17,'HVAC weighting'!$G$18),IF(RIGHT($D89,4)&lt;&gt;"ered",'HVAC weighting'!$G$23,'HVAC weighting'!$G$24))*IFERROR(VLOOKUP(RIGHT('SC-NR'!$D89,4),'HVAC weighting'!$A$3:$C$8,MATCH('SC-NR'!$C89,'HVAC weighting'!$B$3:$C$3,0)+1,FALSE),1)</f>
        <v>1.8840945020408603E-2</v>
      </c>
      <c r="O89" s="29">
        <f ca="1">VLOOKUP($C89,$D$50:$Z$51,O$56+1,FALSE)*$D$65*$A89/8760/1000*IF($C89="Manufactured",IF(RIGHT($D89,4)&lt;&gt;"ered",'HVAC weighting'!$G$17,'HVAC weighting'!$G$18),IF(RIGHT($D89,4)&lt;&gt;"ered",'HVAC weighting'!$G$23,'HVAC weighting'!$G$24))*IFERROR(VLOOKUP(RIGHT('SC-NR'!$D89,4),'HVAC weighting'!$A$3:$C$8,MATCH('SC-NR'!$C89,'HVAC weighting'!$B$3:$C$3,0)+1,FALSE),1)</f>
        <v>2.1872007092202037E-2</v>
      </c>
      <c r="P89" s="29">
        <f ca="1">VLOOKUP($C89,$D$50:$Z$51,P$56+1,FALSE)*$D$65*$A89/8760/1000*IF($C89="Manufactured",IF(RIGHT($D89,4)&lt;&gt;"ered",'HVAC weighting'!$G$17,'HVAC weighting'!$G$18),IF(RIGHT($D89,4)&lt;&gt;"ered",'HVAC weighting'!$G$23,'HVAC weighting'!$G$24))*IFERROR(VLOOKUP(RIGHT('SC-NR'!$D89,4),'HVAC weighting'!$A$3:$C$8,MATCH('SC-NR'!$C89,'HVAC weighting'!$B$3:$C$3,0)+1,FALSE),1)</f>
        <v>2.4436397691629058E-2</v>
      </c>
      <c r="Q89" s="29">
        <f ca="1">VLOOKUP($C89,$D$50:$Z$51,Q$56+1,FALSE)*$D$65*$A89/8760/1000*IF($C89="Manufactured",IF(RIGHT($D89,4)&lt;&gt;"ered",'HVAC weighting'!$G$17,'HVAC weighting'!$G$18),IF(RIGHT($D89,4)&lt;&gt;"ered",'HVAC weighting'!$G$23,'HVAC weighting'!$G$24))*IFERROR(VLOOKUP(RIGHT('SC-NR'!$D89,4),'HVAC weighting'!$A$3:$C$8,MATCH('SC-NR'!$C89,'HVAC weighting'!$B$3:$C$3,0)+1,FALSE),1)</f>
        <v>2.645496736698361E-2</v>
      </c>
      <c r="R89" s="29">
        <f ca="1">VLOOKUP($C89,$D$50:$Z$51,R$56+1,FALSE)*$D$65*$A89/8760/1000*IF($C89="Manufactured",IF(RIGHT($D89,4)&lt;&gt;"ered",'HVAC weighting'!$G$17,'HVAC weighting'!$G$18),IF(RIGHT($D89,4)&lt;&gt;"ered",'HVAC weighting'!$G$23,'HVAC weighting'!$G$24))*IFERROR(VLOOKUP(RIGHT('SC-NR'!$D89,4),'HVAC weighting'!$A$3:$C$8,MATCH('SC-NR'!$C89,'HVAC weighting'!$B$3:$C$3,0)+1,FALSE),1)</f>
        <v>2.9284779908649104E-2</v>
      </c>
      <c r="S89" s="29">
        <f ca="1">VLOOKUP($C89,$D$50:$Z$51,S$56+1,FALSE)*$D$65*$A89/8760/1000*IF($C89="Manufactured",IF(RIGHT($D89,4)&lt;&gt;"ered",'HVAC weighting'!$G$17,'HVAC weighting'!$G$18),IF(RIGHT($D89,4)&lt;&gt;"ered",'HVAC weighting'!$G$23,'HVAC weighting'!$G$24))*IFERROR(VLOOKUP(RIGHT('SC-NR'!$D89,4),'HVAC weighting'!$A$3:$C$8,MATCH('SC-NR'!$C89,'HVAC weighting'!$B$3:$C$3,0)+1,FALSE),1)</f>
        <v>3.0327132354882137E-2</v>
      </c>
      <c r="T89" s="29">
        <f ca="1">VLOOKUP($C89,$D$50:$Z$51,T$56+1,FALSE)*$D$65*$A89/8760/1000*IF($C89="Manufactured",IF(RIGHT($D89,4)&lt;&gt;"ered",'HVAC weighting'!$G$17,'HVAC weighting'!$G$18),IF(RIGHT($D89,4)&lt;&gt;"ered",'HVAC weighting'!$G$23,'HVAC weighting'!$G$24))*IFERROR(VLOOKUP(RIGHT('SC-NR'!$D89,4),'HVAC weighting'!$A$3:$C$8,MATCH('SC-NR'!$C89,'HVAC weighting'!$B$3:$C$3,0)+1,FALSE),1)</f>
        <v>3.0978590113666559E-2</v>
      </c>
      <c r="U89" s="29">
        <f ca="1">VLOOKUP($C89,$D$50:$Z$51,U$56+1,FALSE)*$D$65*$A89/8760/1000*IF($C89="Manufactured",IF(RIGHT($D89,4)&lt;&gt;"ered",'HVAC weighting'!$G$17,'HVAC weighting'!$G$18),IF(RIGHT($D89,4)&lt;&gt;"ered",'HVAC weighting'!$G$23,'HVAC weighting'!$G$24))*IFERROR(VLOOKUP(RIGHT('SC-NR'!$D89,4),'HVAC weighting'!$A$3:$C$8,MATCH('SC-NR'!$C89,'HVAC weighting'!$B$3:$C$3,0)+1,FALSE),1)</f>
        <v>3.1293998127106537E-2</v>
      </c>
      <c r="V89" s="29">
        <f ca="1">VLOOKUP($C89,$D$50:$Z$51,V$56+1,FALSE)*$D$65*$A89/8760/1000*IF($C89="Manufactured",IF(RIGHT($D89,4)&lt;&gt;"ered",'HVAC weighting'!$G$17,'HVAC weighting'!$G$18),IF(RIGHT($D89,4)&lt;&gt;"ered",'HVAC weighting'!$G$23,'HVAC weighting'!$G$24))*IFERROR(VLOOKUP(RIGHT('SC-NR'!$D89,4),'HVAC weighting'!$A$3:$C$8,MATCH('SC-NR'!$C89,'HVAC weighting'!$B$3:$C$3,0)+1,FALSE),1)</f>
        <v>3.1254443284006388E-2</v>
      </c>
      <c r="W89" s="29">
        <f ca="1">VLOOKUP($C89,$D$50:$Z$51,W$56+1,FALSE)*$D$65*$A89/8760/1000*IF($C89="Manufactured",IF(RIGHT($D89,4)&lt;&gt;"ered",'HVAC weighting'!$G$17,'HVAC weighting'!$G$18),IF(RIGHT($D89,4)&lt;&gt;"ered",'HVAC weighting'!$G$23,'HVAC weighting'!$G$24))*IFERROR(VLOOKUP(RIGHT('SC-NR'!$D89,4),'HVAC weighting'!$A$3:$C$8,MATCH('SC-NR'!$C89,'HVAC weighting'!$B$3:$C$3,0)+1,FALSE),1)</f>
        <v>3.1060629548500349E-2</v>
      </c>
      <c r="X89" s="29">
        <f ca="1">VLOOKUP($C89,$D$50:$Z$51,X$56+1,FALSE)*$D$65*$A89/8760/1000*IF($C89="Manufactured",IF(RIGHT($D89,4)&lt;&gt;"ered",'HVAC weighting'!$G$17,'HVAC weighting'!$G$18),IF(RIGHT($D89,4)&lt;&gt;"ered",'HVAC weighting'!$G$23,'HVAC weighting'!$G$24))*IFERROR(VLOOKUP(RIGHT('SC-NR'!$D89,4),'HVAC weighting'!$A$3:$C$8,MATCH('SC-NR'!$C89,'HVAC weighting'!$B$3:$C$3,0)+1,FALSE),1)</f>
        <v>3.0772920729598616E-2</v>
      </c>
      <c r="Y89" s="29">
        <f ca="1">(VLOOKUP($C89,$D$37:$Z$38,$X$56+3,FALSE)+VLOOKUP($C89,$D$43:$Z$44,$X$56+3,FALSE))*$A89*$D$65/8760/1000*IF($C89="Manufactured",IF(RIGHT($D89,4)&lt;&gt;"ered",'HVAC weighting'!$G$17,'HVAC weighting'!$G$18),IF(RIGHT($D89,4)&lt;&gt;"ered",'HVAC weighting'!$G$23,'HVAC weighting'!$G$24))*IFERROR(VLOOKUP(RIGHT('SC-NR'!$D89,4),'HVAC weighting'!$A$3:$C$8,MATCH('SC-NR'!$C89,'HVAC weighting'!$B$3:$C$3,0)+1,FALSE),1)</f>
        <v>0.39597908704281015</v>
      </c>
      <c r="AA89" s="29">
        <f t="shared" ca="1" si="28"/>
        <v>0.35694525790134879</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c r="A90" s="58">
        <f t="shared" si="25"/>
        <v>24.359737456425254</v>
      </c>
      <c r="B90" s="58">
        <f t="shared" si="26"/>
        <v>5772.7243738645357</v>
      </c>
      <c r="C90" s="7" t="str">
        <f t="shared" si="29"/>
        <v>Single Family</v>
      </c>
      <c r="D90" s="7" t="s">
        <v>480</v>
      </c>
      <c r="E90" s="29">
        <f ca="1">VLOOKUP($C90,$D$50:$Z$51,E$56+1,FALSE)*$D$65*$A90/8760/1000*IF($C90="Manufactured",IF(RIGHT($D90,4)&lt;&gt;"ered",'HVAC weighting'!$G$17,'HVAC weighting'!$G$18),IF(RIGHT($D90,4)&lt;&gt;"ered",'HVAC weighting'!$G$23,'HVAC weighting'!$G$24))*IFERROR(VLOOKUP(RIGHT('SC-NR'!$D90,4),'HVAC weighting'!$A$3:$C$8,MATCH('SC-NR'!$C90,'HVAC weighting'!$B$3:$C$3,0)+1,FALSE),1)</f>
        <v>4.3509997284072801E-5</v>
      </c>
      <c r="F90" s="29">
        <f ca="1">VLOOKUP($C90,$D$50:$Z$51,F$56+1,FALSE)*$D$65*$A90/8760/1000*IF($C90="Manufactured",IF(RIGHT($D90,4)&lt;&gt;"ered",'HVAC weighting'!$G$17,'HVAC weighting'!$G$18),IF(RIGHT($D90,4)&lt;&gt;"ered",'HVAC weighting'!$G$23,'HVAC weighting'!$G$24))*IFERROR(VLOOKUP(RIGHT('SC-NR'!$D90,4),'HVAC weighting'!$A$3:$C$8,MATCH('SC-NR'!$C90,'HVAC weighting'!$B$3:$C$3,0)+1,FALSE),1)</f>
        <v>1.116495656972438E-4</v>
      </c>
      <c r="G90" s="29">
        <f ca="1">VLOOKUP($C90,$D$50:$Z$51,G$56+1,FALSE)*$D$65*$A90/8760/1000*IF($C90="Manufactured",IF(RIGHT($D90,4)&lt;&gt;"ered",'HVAC weighting'!$G$17,'HVAC weighting'!$G$18),IF(RIGHT($D90,4)&lt;&gt;"ered",'HVAC weighting'!$G$23,'HVAC weighting'!$G$24))*IFERROR(VLOOKUP(RIGHT('SC-NR'!$D90,4),'HVAC weighting'!$A$3:$C$8,MATCH('SC-NR'!$C90,'HVAC weighting'!$B$3:$C$3,0)+1,FALSE),1)</f>
        <v>2.475628653242111E-4</v>
      </c>
      <c r="H90" s="29">
        <f ca="1">VLOOKUP($C90,$D$50:$Z$51,H$56+1,FALSE)*$D$65*$A90/8760/1000*IF($C90="Manufactured",IF(RIGHT($D90,4)&lt;&gt;"ered",'HVAC weighting'!$G$17,'HVAC weighting'!$G$18),IF(RIGHT($D90,4)&lt;&gt;"ered",'HVAC weighting'!$G$23,'HVAC weighting'!$G$24))*IFERROR(VLOOKUP(RIGHT('SC-NR'!$D90,4),'HVAC weighting'!$A$3:$C$8,MATCH('SC-NR'!$C90,'HVAC weighting'!$B$3:$C$3,0)+1,FALSE),1)</f>
        <v>4.8475155018598689E-4</v>
      </c>
      <c r="I90" s="29">
        <f ca="1">VLOOKUP($C90,$D$50:$Z$51,I$56+1,FALSE)*$D$65*$A90/8760/1000*IF($C90="Manufactured",IF(RIGHT($D90,4)&lt;&gt;"ered",'HVAC weighting'!$G$17,'HVAC weighting'!$G$18),IF(RIGHT($D90,4)&lt;&gt;"ered",'HVAC weighting'!$G$23,'HVAC weighting'!$G$24))*IFERROR(VLOOKUP(RIGHT('SC-NR'!$D90,4),'HVAC weighting'!$A$3:$C$8,MATCH('SC-NR'!$C90,'HVAC weighting'!$B$3:$C$3,0)+1,FALSE),1)</f>
        <v>8.5264562113707978E-4</v>
      </c>
      <c r="J90" s="29">
        <f ca="1">VLOOKUP($C90,$D$50:$Z$51,J$56+1,FALSE)*$D$65*$A90/8760/1000*IF($C90="Manufactured",IF(RIGHT($D90,4)&lt;&gt;"ered",'HVAC weighting'!$G$17,'HVAC weighting'!$G$18),IF(RIGHT($D90,4)&lt;&gt;"ered",'HVAC weighting'!$G$23,'HVAC weighting'!$G$24))*IFERROR(VLOOKUP(RIGHT('SC-NR'!$D90,4),'HVAC weighting'!$A$3:$C$8,MATCH('SC-NR'!$C90,'HVAC weighting'!$B$3:$C$3,0)+1,FALSE),1)</f>
        <v>1.3661291501909846E-3</v>
      </c>
      <c r="K90" s="29">
        <f ca="1">VLOOKUP($C90,$D$50:$Z$51,K$56+1,FALSE)*$D$65*$A90/8760/1000*IF($C90="Manufactured",IF(RIGHT($D90,4)&lt;&gt;"ered",'HVAC weighting'!$G$17,'HVAC weighting'!$G$18),IF(RIGHT($D90,4)&lt;&gt;"ered",'HVAC weighting'!$G$23,'HVAC weighting'!$G$24))*IFERROR(VLOOKUP(RIGHT('SC-NR'!$D90,4),'HVAC weighting'!$A$3:$C$8,MATCH('SC-NR'!$C90,'HVAC weighting'!$B$3:$C$3,0)+1,FALSE),1)</f>
        <v>2.0175260728569266E-3</v>
      </c>
      <c r="L90" s="29">
        <f ca="1">VLOOKUP($C90,$D$50:$Z$51,L$56+1,FALSE)*$D$65*$A90/8760/1000*IF($C90="Manufactured",IF(RIGHT($D90,4)&lt;&gt;"ered",'HVAC weighting'!$G$17,'HVAC weighting'!$G$18),IF(RIGHT($D90,4)&lt;&gt;"ered",'HVAC weighting'!$G$23,'HVAC weighting'!$G$24))*IFERROR(VLOOKUP(RIGHT('SC-NR'!$D90,4),'HVAC weighting'!$A$3:$C$8,MATCH('SC-NR'!$C90,'HVAC weighting'!$B$3:$C$3,0)+1,FALSE),1)</f>
        <v>2.7747930710569895E-3</v>
      </c>
      <c r="M90" s="29">
        <f ca="1">VLOOKUP($C90,$D$50:$Z$51,M$56+1,FALSE)*$D$65*$A90/8760/1000*IF($C90="Manufactured",IF(RIGHT($D90,4)&lt;&gt;"ered",'HVAC weighting'!$G$17,'HVAC weighting'!$G$18),IF(RIGHT($D90,4)&lt;&gt;"ered",'HVAC weighting'!$G$23,'HVAC weighting'!$G$24))*IFERROR(VLOOKUP(RIGHT('SC-NR'!$D90,4),'HVAC weighting'!$A$3:$C$8,MATCH('SC-NR'!$C90,'HVAC weighting'!$B$3:$C$3,0)+1,FALSE),1)</f>
        <v>3.5870811341766366E-3</v>
      </c>
      <c r="N90" s="29">
        <f ca="1">VLOOKUP($C90,$D$50:$Z$51,N$56+1,FALSE)*$D$65*$A90/8760/1000*IF($C90="Manufactured",IF(RIGHT($D90,4)&lt;&gt;"ered",'HVAC weighting'!$G$17,'HVAC weighting'!$G$18),IF(RIGHT($D90,4)&lt;&gt;"ered",'HVAC weighting'!$G$23,'HVAC weighting'!$G$24))*IFERROR(VLOOKUP(RIGHT('SC-NR'!$D90,4),'HVAC weighting'!$A$3:$C$8,MATCH('SC-NR'!$C90,'HVAC weighting'!$B$3:$C$3,0)+1,FALSE),1)</f>
        <v>4.3956658321300628E-3</v>
      </c>
      <c r="O90" s="29">
        <f ca="1">VLOOKUP($C90,$D$50:$Z$51,O$56+1,FALSE)*$D$65*$A90/8760/1000*IF($C90="Manufactured",IF(RIGHT($D90,4)&lt;&gt;"ered",'HVAC weighting'!$G$17,'HVAC weighting'!$G$18),IF(RIGHT($D90,4)&lt;&gt;"ered",'HVAC weighting'!$G$23,'HVAC weighting'!$G$24))*IFERROR(VLOOKUP(RIGHT('SC-NR'!$D90,4),'HVAC weighting'!$A$3:$C$8,MATCH('SC-NR'!$C90,'HVAC weighting'!$B$3:$C$3,0)+1,FALSE),1)</f>
        <v>5.146234758186978E-3</v>
      </c>
      <c r="P90" s="29">
        <f ca="1">VLOOKUP($C90,$D$50:$Z$51,P$56+1,FALSE)*$D$65*$A90/8760/1000*IF($C90="Manufactured",IF(RIGHT($D90,4)&lt;&gt;"ered",'HVAC weighting'!$G$17,'HVAC weighting'!$G$18),IF(RIGHT($D90,4)&lt;&gt;"ered",'HVAC weighting'!$G$23,'HVAC weighting'!$G$24))*IFERROR(VLOOKUP(RIGHT('SC-NR'!$D90,4),'HVAC weighting'!$A$3:$C$8,MATCH('SC-NR'!$C90,'HVAC weighting'!$B$3:$C$3,0)+1,FALSE),1)</f>
        <v>5.7985193277151487E-3</v>
      </c>
      <c r="Q90" s="29">
        <f ca="1">VLOOKUP($C90,$D$50:$Z$51,Q$56+1,FALSE)*$D$65*$A90/8760/1000*IF($C90="Manufactured",IF(RIGHT($D90,4)&lt;&gt;"ered",'HVAC weighting'!$G$17,'HVAC weighting'!$G$18),IF(RIGHT($D90,4)&lt;&gt;"ered",'HVAC weighting'!$G$23,'HVAC weighting'!$G$24))*IFERROR(VLOOKUP(RIGHT('SC-NR'!$D90,4),'HVAC weighting'!$A$3:$C$8,MATCH('SC-NR'!$C90,'HVAC weighting'!$B$3:$C$3,0)+1,FALSE),1)</f>
        <v>6.3309097677513165E-3</v>
      </c>
      <c r="R90" s="29">
        <f ca="1">VLOOKUP($C90,$D$50:$Z$51,R$56+1,FALSE)*$D$65*$A90/8760/1000*IF($C90="Manufactured",IF(RIGHT($D90,4)&lt;&gt;"ered",'HVAC weighting'!$G$17,'HVAC weighting'!$G$18),IF(RIGHT($D90,4)&lt;&gt;"ered",'HVAC weighting'!$G$23,'HVAC weighting'!$G$24))*IFERROR(VLOOKUP(RIGHT('SC-NR'!$D90,4),'HVAC weighting'!$A$3:$C$8,MATCH('SC-NR'!$C90,'HVAC weighting'!$B$3:$C$3,0)+1,FALSE),1)</f>
        <v>8.0797045727377895E-3</v>
      </c>
      <c r="S90" s="29">
        <f ca="1">VLOOKUP($C90,$D$50:$Z$51,S$56+1,FALSE)*$D$65*$A90/8760/1000*IF($C90="Manufactured",IF(RIGHT($D90,4)&lt;&gt;"ered",'HVAC weighting'!$G$17,'HVAC weighting'!$G$18),IF(RIGHT($D90,4)&lt;&gt;"ered",'HVAC weighting'!$G$23,'HVAC weighting'!$G$24))*IFERROR(VLOOKUP(RIGHT('SC-NR'!$D90,4),'HVAC weighting'!$A$3:$C$8,MATCH('SC-NR'!$C90,'HVAC weighting'!$B$3:$C$3,0)+1,FALSE),1)</f>
        <v>8.3672878888153609E-3</v>
      </c>
      <c r="T90" s="29">
        <f ca="1">VLOOKUP($C90,$D$50:$Z$51,T$56+1,FALSE)*$D$65*$A90/8760/1000*IF($C90="Manufactured",IF(RIGHT($D90,4)&lt;&gt;"ered",'HVAC weighting'!$G$17,'HVAC weighting'!$G$18),IF(RIGHT($D90,4)&lt;&gt;"ered",'HVAC weighting'!$G$23,'HVAC weighting'!$G$24))*IFERROR(VLOOKUP(RIGHT('SC-NR'!$D90,4),'HVAC weighting'!$A$3:$C$8,MATCH('SC-NR'!$C90,'HVAC weighting'!$B$3:$C$3,0)+1,FALSE),1)</f>
        <v>8.5198449128577689E-3</v>
      </c>
      <c r="U90" s="29">
        <f ca="1">VLOOKUP($C90,$D$50:$Z$51,U$56+1,FALSE)*$D$65*$A90/8760/1000*IF($C90="Manufactured",IF(RIGHT($D90,4)&lt;&gt;"ered",'HVAC weighting'!$G$17,'HVAC weighting'!$G$18),IF(RIGHT($D90,4)&lt;&gt;"ered",'HVAC weighting'!$G$23,'HVAC weighting'!$G$24))*IFERROR(VLOOKUP(RIGHT('SC-NR'!$D90,4),'HVAC weighting'!$A$3:$C$8,MATCH('SC-NR'!$C90,'HVAC weighting'!$B$3:$C$3,0)+1,FALSE),1)</f>
        <v>8.599230723101146E-3</v>
      </c>
      <c r="V90" s="29">
        <f ca="1">VLOOKUP($C90,$D$50:$Z$51,V$56+1,FALSE)*$D$65*$A90/8760/1000*IF($C90="Manufactured",IF(RIGHT($D90,4)&lt;&gt;"ered",'HVAC weighting'!$G$17,'HVAC weighting'!$G$18),IF(RIGHT($D90,4)&lt;&gt;"ered",'HVAC weighting'!$G$23,'HVAC weighting'!$G$24))*IFERROR(VLOOKUP(RIGHT('SC-NR'!$D90,4),'HVAC weighting'!$A$3:$C$8,MATCH('SC-NR'!$C90,'HVAC weighting'!$B$3:$C$3,0)+1,FALSE),1)</f>
        <v>8.6072692467101218E-3</v>
      </c>
      <c r="W90" s="29">
        <f ca="1">VLOOKUP($C90,$D$50:$Z$51,W$56+1,FALSE)*$D$65*$A90/8760/1000*IF($C90="Manufactured",IF(RIGHT($D90,4)&lt;&gt;"ered",'HVAC weighting'!$G$17,'HVAC weighting'!$G$18),IF(RIGHT($D90,4)&lt;&gt;"ered",'HVAC weighting'!$G$23,'HVAC weighting'!$G$24))*IFERROR(VLOOKUP(RIGHT('SC-NR'!$D90,4),'HVAC weighting'!$A$3:$C$8,MATCH('SC-NR'!$C90,'HVAC weighting'!$B$3:$C$3,0)+1,FALSE),1)</f>
        <v>8.5337164146624643E-3</v>
      </c>
      <c r="X90" s="29">
        <f ca="1">VLOOKUP($C90,$D$50:$Z$51,X$56+1,FALSE)*$D$65*$A90/8760/1000*IF($C90="Manufactured",IF(RIGHT($D90,4)&lt;&gt;"ered",'HVAC weighting'!$G$17,'HVAC weighting'!$G$18),IF(RIGHT($D90,4)&lt;&gt;"ered",'HVAC weighting'!$G$23,'HVAC weighting'!$G$24))*IFERROR(VLOOKUP(RIGHT('SC-NR'!$D90,4),'HVAC weighting'!$A$3:$C$8,MATCH('SC-NR'!$C90,'HVAC weighting'!$B$3:$C$3,0)+1,FALSE),1)</f>
        <v>8.4426350564498903E-3</v>
      </c>
      <c r="Y90" s="29">
        <f ca="1">(VLOOKUP($C90,$D$37:$Z$38,$X$56+3,FALSE)+VLOOKUP($C90,$D$43:$Z$44,$X$56+3,FALSE))*$A90*$D$65/8760/1000*IF($C90="Manufactured",IF(RIGHT($D90,4)&lt;&gt;"ered",'HVAC weighting'!$G$17,'HVAC weighting'!$G$18),IF(RIGHT($D90,4)&lt;&gt;"ered",'HVAC weighting'!$G$23,'HVAC weighting'!$G$24))*IFERROR(VLOOKUP(RIGHT('SC-NR'!$D90,4),'HVAC weighting'!$A$3:$C$8,MATCH('SC-NR'!$C90,'HVAC weighting'!$B$3:$C$3,0)+1,FALSE),1)</f>
        <v>0.10670462258030972</v>
      </c>
      <c r="AA90" s="29">
        <f t="shared" ca="1" si="28"/>
        <v>9.2306667529028177E-2</v>
      </c>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row>
    <row r="92" spans="1:80" customFormat="1">
      <c r="A92" s="7"/>
      <c r="B92" s="68">
        <f ca="1">SUMPRODUCT(B67:B90,AA67:AA90)/SUM(AA67:AA90)</f>
        <v>176.01781343856499</v>
      </c>
      <c r="C92" s="7"/>
      <c r="D92" s="49"/>
      <c r="E92" s="35">
        <f ca="1">SUM(E67:E90)</f>
        <v>0.12909059149259045</v>
      </c>
      <c r="F92" s="35">
        <f t="shared" ref="F92:X92" ca="1" si="30">SUM(F67:F90)</f>
        <v>0.33078878796936884</v>
      </c>
      <c r="G92" s="35">
        <f ca="1">SUM(G67:G90)</f>
        <v>0.73243950434579863</v>
      </c>
      <c r="H92" s="35">
        <f t="shared" ca="1" si="30"/>
        <v>1.4321953748579266</v>
      </c>
      <c r="I92" s="35">
        <f t="shared" ca="1" si="30"/>
        <v>2.51566430185972</v>
      </c>
      <c r="J92" s="35">
        <f ca="1">SUM(J67:J90)</f>
        <v>4.0251417168770907</v>
      </c>
      <c r="K92" s="35">
        <f t="shared" ca="1" si="30"/>
        <v>5.9363306211839335</v>
      </c>
      <c r="L92" s="35">
        <f t="shared" ca="1" si="30"/>
        <v>8.1534839578547071</v>
      </c>
      <c r="M92" s="35">
        <f t="shared" ca="1" si="30"/>
        <v>10.526201455298132</v>
      </c>
      <c r="N92" s="35">
        <f t="shared" ca="1" si="30"/>
        <v>12.88181754627988</v>
      </c>
      <c r="O92" s="35">
        <f t="shared" ca="1" si="30"/>
        <v>15.061498417204136</v>
      </c>
      <c r="P92" s="35">
        <f t="shared" ca="1" si="30"/>
        <v>16.948290491436421</v>
      </c>
      <c r="Q92" s="35">
        <f t="shared" ca="1" si="30"/>
        <v>18.480307120011293</v>
      </c>
      <c r="R92" s="35">
        <f t="shared" ca="1" si="30"/>
        <v>23.105854252222048</v>
      </c>
      <c r="S92" s="35">
        <f t="shared" ca="1" si="30"/>
        <v>23.928268896318663</v>
      </c>
      <c r="T92" s="35">
        <f t="shared" ca="1" si="30"/>
        <v>24.375087094520705</v>
      </c>
      <c r="U92" s="35">
        <f t="shared" ca="1" si="30"/>
        <v>24.605072093376791</v>
      </c>
      <c r="V92" s="35">
        <f t="shared" ca="1" si="30"/>
        <v>24.620707893136963</v>
      </c>
      <c r="W92" s="35">
        <f t="shared" ca="1" si="30"/>
        <v>24.418155674330887</v>
      </c>
      <c r="X92" s="35">
        <f t="shared" ca="1" si="30"/>
        <v>24.162226499169215</v>
      </c>
      <c r="Y92" s="35">
        <f ca="1">SUM(Y67:Y90)</f>
        <v>306.1353710246317</v>
      </c>
      <c r="Z92" s="48"/>
      <c r="AA92" s="35">
        <f ca="1">SUM(E92:X92)</f>
        <v>266.36862228974621</v>
      </c>
      <c r="AB92" s="7"/>
      <c r="AC92" s="29"/>
    </row>
    <row r="93" spans="1:80" customFormat="1">
      <c r="A93" s="7"/>
      <c r="B93" s="7"/>
      <c r="C93" s="7"/>
      <c r="D93" s="7"/>
      <c r="E93" s="35">
        <f ca="1">E92</f>
        <v>0.12909059149259045</v>
      </c>
      <c r="F93" s="35">
        <f ca="1">F92+E93</f>
        <v>0.45987937946195928</v>
      </c>
      <c r="G93" s="35">
        <f t="shared" ref="G93:X93" ca="1" si="31">G92+F93</f>
        <v>1.1923188838077579</v>
      </c>
      <c r="H93" s="35">
        <f t="shared" ca="1" si="31"/>
        <v>2.6245142586656844</v>
      </c>
      <c r="I93" s="35">
        <f t="shared" ca="1" si="31"/>
        <v>5.1401785605254044</v>
      </c>
      <c r="J93" s="35">
        <f t="shared" ca="1" si="31"/>
        <v>9.1653202774024951</v>
      </c>
      <c r="K93" s="35">
        <f t="shared" ca="1" si="31"/>
        <v>15.101650898586428</v>
      </c>
      <c r="L93" s="35">
        <f t="shared" ca="1" si="31"/>
        <v>23.255134856441135</v>
      </c>
      <c r="M93" s="35">
        <f t="shared" ca="1" si="31"/>
        <v>33.781336311739267</v>
      </c>
      <c r="N93" s="35">
        <f t="shared" ca="1" si="31"/>
        <v>46.663153858019143</v>
      </c>
      <c r="O93" s="35">
        <f t="shared" ca="1" si="31"/>
        <v>61.724652275223278</v>
      </c>
      <c r="P93" s="35">
        <f t="shared" ca="1" si="31"/>
        <v>78.672942766659702</v>
      </c>
      <c r="Q93" s="35">
        <f t="shared" ca="1" si="31"/>
        <v>97.153249886670991</v>
      </c>
      <c r="R93" s="35">
        <f t="shared" ca="1" si="31"/>
        <v>120.25910413889304</v>
      </c>
      <c r="S93" s="35">
        <f t="shared" ca="1" si="31"/>
        <v>144.18737303521169</v>
      </c>
      <c r="T93" s="35">
        <f t="shared" ca="1" si="31"/>
        <v>168.56246012973239</v>
      </c>
      <c r="U93" s="35">
        <f t="shared" ca="1" si="31"/>
        <v>193.16753222310916</v>
      </c>
      <c r="V93" s="35">
        <f t="shared" ca="1" si="31"/>
        <v>217.78824011624613</v>
      </c>
      <c r="W93" s="35">
        <f t="shared" ca="1" si="31"/>
        <v>242.20639579057701</v>
      </c>
      <c r="X93" s="35">
        <f t="shared" ca="1" si="31"/>
        <v>266.36862228974621</v>
      </c>
      <c r="Y93" s="7"/>
      <c r="Z93" s="7"/>
      <c r="AA93" s="7"/>
      <c r="AB93" s="7"/>
      <c r="AC93" s="7"/>
    </row>
    <row r="94" spans="1:80" customForma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row>
    <row r="95" spans="1:80" customFormat="1" ht="15">
      <c r="A95" s="56" t="s">
        <v>70</v>
      </c>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row>
    <row r="96" spans="1:80" customFormat="1" ht="15">
      <c r="A96" s="7"/>
      <c r="B96" s="7"/>
      <c r="C96" s="7"/>
      <c r="D96" s="7"/>
      <c r="E96" s="59">
        <f t="shared" ref="E96:X96" si="32">E11</f>
        <v>2016</v>
      </c>
      <c r="F96" s="60">
        <f t="shared" si="32"/>
        <v>2017</v>
      </c>
      <c r="G96" s="60">
        <f t="shared" si="32"/>
        <v>2018</v>
      </c>
      <c r="H96" s="60">
        <f t="shared" si="32"/>
        <v>2019</v>
      </c>
      <c r="I96" s="60">
        <f t="shared" si="32"/>
        <v>2020</v>
      </c>
      <c r="J96" s="60">
        <f t="shared" si="32"/>
        <v>2021</v>
      </c>
      <c r="K96" s="60">
        <f t="shared" si="32"/>
        <v>2022</v>
      </c>
      <c r="L96" s="60">
        <f t="shared" si="32"/>
        <v>2023</v>
      </c>
      <c r="M96" s="60">
        <f t="shared" si="32"/>
        <v>2024</v>
      </c>
      <c r="N96" s="60">
        <f t="shared" si="32"/>
        <v>2025</v>
      </c>
      <c r="O96" s="60">
        <f t="shared" si="32"/>
        <v>2026</v>
      </c>
      <c r="P96" s="60">
        <f t="shared" si="32"/>
        <v>2027</v>
      </c>
      <c r="Q96" s="60">
        <f t="shared" si="32"/>
        <v>2028</v>
      </c>
      <c r="R96" s="60">
        <f t="shared" si="32"/>
        <v>2029</v>
      </c>
      <c r="S96" s="60">
        <f t="shared" si="32"/>
        <v>2030</v>
      </c>
      <c r="T96" s="60">
        <f t="shared" si="32"/>
        <v>2031</v>
      </c>
      <c r="U96" s="60">
        <f t="shared" si="32"/>
        <v>2032</v>
      </c>
      <c r="V96" s="60">
        <f t="shared" si="32"/>
        <v>2033</v>
      </c>
      <c r="W96" s="60">
        <f t="shared" si="32"/>
        <v>2034</v>
      </c>
      <c r="X96" s="60">
        <f t="shared" si="32"/>
        <v>2035</v>
      </c>
      <c r="Y96" s="61" t="s">
        <v>63</v>
      </c>
      <c r="Z96" s="7"/>
      <c r="AA96" s="7"/>
      <c r="AB96" s="7"/>
      <c r="AC96" s="7"/>
    </row>
    <row r="97" spans="1:29" customFormat="1" ht="15">
      <c r="A97" s="7"/>
      <c r="B97" s="7"/>
      <c r="C97" s="50" t="s">
        <v>67</v>
      </c>
      <c r="D97" s="50" t="s">
        <v>67</v>
      </c>
      <c r="E97" s="62" t="str">
        <f>CONCATENATE("aMW_",E$11)</f>
        <v>aMW_2016</v>
      </c>
      <c r="F97" s="63" t="str">
        <f t="shared" ref="F97:X97" si="33">CONCATENATE("aMW_",F$11)</f>
        <v>aMW_2017</v>
      </c>
      <c r="G97" s="63" t="str">
        <f t="shared" si="33"/>
        <v>aMW_2018</v>
      </c>
      <c r="H97" s="63" t="str">
        <f t="shared" si="33"/>
        <v>aMW_2019</v>
      </c>
      <c r="I97" s="63" t="str">
        <f t="shared" si="33"/>
        <v>aMW_2020</v>
      </c>
      <c r="J97" s="63" t="str">
        <f t="shared" si="33"/>
        <v>aMW_2021</v>
      </c>
      <c r="K97" s="63" t="str">
        <f t="shared" si="33"/>
        <v>aMW_2022</v>
      </c>
      <c r="L97" s="63" t="str">
        <f t="shared" si="33"/>
        <v>aMW_2023</v>
      </c>
      <c r="M97" s="63" t="str">
        <f t="shared" si="33"/>
        <v>aMW_2024</v>
      </c>
      <c r="N97" s="63" t="str">
        <f t="shared" si="33"/>
        <v>aMW_2025</v>
      </c>
      <c r="O97" s="63" t="str">
        <f t="shared" si="33"/>
        <v>aMW_2026</v>
      </c>
      <c r="P97" s="63" t="str">
        <f t="shared" si="33"/>
        <v>aMW_2027</v>
      </c>
      <c r="Q97" s="63" t="str">
        <f t="shared" si="33"/>
        <v>aMW_2028</v>
      </c>
      <c r="R97" s="63" t="str">
        <f t="shared" si="33"/>
        <v>aMW_2029</v>
      </c>
      <c r="S97" s="63" t="str">
        <f t="shared" si="33"/>
        <v>aMW_2030</v>
      </c>
      <c r="T97" s="63" t="str">
        <f t="shared" si="33"/>
        <v>aMW_2031</v>
      </c>
      <c r="U97" s="63" t="str">
        <f t="shared" si="33"/>
        <v>aMW_2032</v>
      </c>
      <c r="V97" s="63" t="str">
        <f t="shared" si="33"/>
        <v>aMW_2033</v>
      </c>
      <c r="W97" s="63" t="str">
        <f t="shared" si="33"/>
        <v>aMW_2034</v>
      </c>
      <c r="X97" s="63" t="str">
        <f t="shared" si="33"/>
        <v>aMW_2035</v>
      </c>
      <c r="Y97" s="64" t="s">
        <v>63</v>
      </c>
      <c r="Z97" s="7"/>
      <c r="AA97" s="7"/>
      <c r="AB97" s="7"/>
      <c r="AC97" s="7"/>
    </row>
    <row r="98" spans="1:29" customFormat="1">
      <c r="A98" s="7"/>
      <c r="B98" s="7" t="s">
        <v>71</v>
      </c>
      <c r="C98" s="51" t="s">
        <v>72</v>
      </c>
      <c r="D98" s="51" t="s">
        <v>73</v>
      </c>
      <c r="E98" s="35">
        <f>DSUM($B$66:$Y$90,E$66,$C$97:$D98)</f>
        <v>0</v>
      </c>
      <c r="F98" s="35">
        <f>DSUM($B$66:$Y$90,F$66,$C$97:$D98)</f>
        <v>0</v>
      </c>
      <c r="G98" s="35">
        <f>DSUM($B$66:$Y$90,G$66,$C$97:$D98)</f>
        <v>0</v>
      </c>
      <c r="H98" s="35">
        <f>DSUM($B$66:$Y$90,H$66,$C$97:$D98)</f>
        <v>0</v>
      </c>
      <c r="I98" s="35">
        <f>DSUM($B$66:$Y$90,I$66,$C$97:$D98)</f>
        <v>0</v>
      </c>
      <c r="J98" s="35">
        <f>DSUM($B$66:$Y$90,J$66,$C$97:$D98)</f>
        <v>0</v>
      </c>
      <c r="K98" s="35">
        <f>DSUM($B$66:$Y$90,K$66,$C$97:$D98)</f>
        <v>0</v>
      </c>
      <c r="L98" s="35">
        <f>DSUM($B$66:$Y$90,L$66,$C$97:$D98)</f>
        <v>0</v>
      </c>
      <c r="M98" s="35">
        <f>DSUM($B$66:$Y$90,M$66,$C$97:$D98)</f>
        <v>0</v>
      </c>
      <c r="N98" s="35">
        <f>DSUM($B$66:$Y$90,N$66,$C$97:$D98)</f>
        <v>0</v>
      </c>
      <c r="O98" s="35">
        <f>DSUM($B$66:$Y$90,O$66,$C$97:$D98)</f>
        <v>0</v>
      </c>
      <c r="P98" s="35">
        <f>DSUM($B$66:$Y$90,P$66,$C$97:$D98)</f>
        <v>0</v>
      </c>
      <c r="Q98" s="35">
        <f>DSUM($B$66:$Y$90,Q$66,$C$97:$D98)</f>
        <v>0</v>
      </c>
      <c r="R98" s="35">
        <f>DSUM($B$66:$Y$90,R$66,$C$97:$D98)</f>
        <v>0</v>
      </c>
      <c r="S98" s="35">
        <f>DSUM($B$66:$Y$90,S$66,$C$97:$D98)</f>
        <v>0</v>
      </c>
      <c r="T98" s="35">
        <f>DSUM($B$66:$Y$90,T$66,$C$97:$D98)</f>
        <v>0</v>
      </c>
      <c r="U98" s="35">
        <f>DSUM($B$66:$Y$90,U$66,$C$97:$D98)</f>
        <v>0</v>
      </c>
      <c r="V98" s="35">
        <f>DSUM($B$66:$Y$90,V$66,$C$97:$D98)</f>
        <v>0</v>
      </c>
      <c r="W98" s="35">
        <f>DSUM($B$66:$Y$90,W$66,$C$97:$D98)</f>
        <v>0</v>
      </c>
      <c r="X98" s="35">
        <f>DSUM($B$66:$Y$90,X$66,$C$97:$D98)</f>
        <v>0</v>
      </c>
      <c r="Y98" s="35">
        <f>DSUM($B$66:$Y$90,Y$66,$C$97:$D98)</f>
        <v>0</v>
      </c>
      <c r="Z98" s="7"/>
      <c r="AA98" s="7"/>
      <c r="AB98" s="7"/>
      <c r="AC98" s="7"/>
    </row>
    <row r="99" spans="1:29" customFormat="1">
      <c r="A99" s="7"/>
      <c r="B99" s="7" t="s">
        <v>568</v>
      </c>
      <c r="C99" s="51" t="s">
        <v>75</v>
      </c>
      <c r="D99" s="51" t="s">
        <v>76</v>
      </c>
      <c r="E99" s="35">
        <f>DSUM($B$66:$Y$90,E$66,$C$97:$D99)</f>
        <v>0</v>
      </c>
      <c r="F99" s="35">
        <f>DSUM($B$66:$Y$90,F$66,$C$97:$D99)</f>
        <v>0</v>
      </c>
      <c r="G99" s="35">
        <f>DSUM($B$66:$Y$90,G$66,$C$97:$D99)</f>
        <v>0</v>
      </c>
      <c r="H99" s="35">
        <f>DSUM($B$66:$Y$90,H$66,$C$97:$D99)</f>
        <v>0</v>
      </c>
      <c r="I99" s="35">
        <f>DSUM($B$66:$Y$90,I$66,$C$97:$D99)</f>
        <v>0</v>
      </c>
      <c r="J99" s="35">
        <f>DSUM($B$66:$Y$90,J$66,$C$97:$D99)</f>
        <v>0</v>
      </c>
      <c r="K99" s="35">
        <f>DSUM($B$66:$Y$90,K$66,$C$97:$D99)</f>
        <v>0</v>
      </c>
      <c r="L99" s="35">
        <f>DSUM($B$66:$Y$90,L$66,$C$97:$D99)</f>
        <v>0</v>
      </c>
      <c r="M99" s="35">
        <f>DSUM($B$66:$Y$90,M$66,$C$97:$D99)</f>
        <v>0</v>
      </c>
      <c r="N99" s="35">
        <f>DSUM($B$66:$Y$90,N$66,$C$97:$D99)</f>
        <v>0</v>
      </c>
      <c r="O99" s="35">
        <f>DSUM($B$66:$Y$90,O$66,$C$97:$D99)</f>
        <v>0</v>
      </c>
      <c r="P99" s="35">
        <f>DSUM($B$66:$Y$90,P$66,$C$97:$D99)</f>
        <v>0</v>
      </c>
      <c r="Q99" s="35">
        <f>DSUM($B$66:$Y$90,Q$66,$C$97:$D99)</f>
        <v>0</v>
      </c>
      <c r="R99" s="35">
        <f>DSUM($B$66:$Y$90,R$66,$C$97:$D99)</f>
        <v>0</v>
      </c>
      <c r="S99" s="35">
        <f>DSUM($B$66:$Y$90,S$66,$C$97:$D99)</f>
        <v>0</v>
      </c>
      <c r="T99" s="35">
        <f>DSUM($B$66:$Y$90,T$66,$C$97:$D99)</f>
        <v>0</v>
      </c>
      <c r="U99" s="35">
        <f>DSUM($B$66:$Y$90,U$66,$C$97:$D99)</f>
        <v>0</v>
      </c>
      <c r="V99" s="35">
        <f>DSUM($B$66:$Y$90,V$66,$C$97:$D99)</f>
        <v>0</v>
      </c>
      <c r="W99" s="35">
        <f>DSUM($B$66:$Y$90,W$66,$C$97:$D99)</f>
        <v>0</v>
      </c>
      <c r="X99" s="35">
        <f>DSUM($B$66:$Y$90,X$66,$C$97:$D99)</f>
        <v>0</v>
      </c>
      <c r="Y99" s="35">
        <f>DSUM($B$66:$Y$90,Y$66,$C$97:$D99)</f>
        <v>0</v>
      </c>
      <c r="Z99" s="7"/>
      <c r="AA99" s="7"/>
      <c r="AB99" s="7"/>
      <c r="AC99" s="7"/>
    </row>
    <row r="100" spans="1:29" customFormat="1">
      <c r="A100" s="7"/>
      <c r="B100" s="7" t="s">
        <v>77</v>
      </c>
      <c r="C100" s="51" t="s">
        <v>78</v>
      </c>
      <c r="D100" s="51" t="s">
        <v>79</v>
      </c>
      <c r="E100" s="35">
        <f>DSUM($B$66:$Y$90,E$66,$C$97:$D100)</f>
        <v>0</v>
      </c>
      <c r="F100" s="35">
        <f>DSUM($B$66:$Y$90,F$66,$C$97:$D100)</f>
        <v>0</v>
      </c>
      <c r="G100" s="35">
        <f>DSUM($B$66:$Y$90,G$66,$C$97:$D100)</f>
        <v>0</v>
      </c>
      <c r="H100" s="35">
        <f>DSUM($B$66:$Y$90,H$66,$C$97:$D100)</f>
        <v>0</v>
      </c>
      <c r="I100" s="35">
        <f>DSUM($B$66:$Y$90,I$66,$C$97:$D100)</f>
        <v>0</v>
      </c>
      <c r="J100" s="35">
        <f>DSUM($B$66:$Y$90,J$66,$C$97:$D100)</f>
        <v>0</v>
      </c>
      <c r="K100" s="35">
        <f>DSUM($B$66:$Y$90,K$66,$C$97:$D100)</f>
        <v>0</v>
      </c>
      <c r="L100" s="35">
        <f>DSUM($B$66:$Y$90,L$66,$C$97:$D100)</f>
        <v>0</v>
      </c>
      <c r="M100" s="35">
        <f>DSUM($B$66:$Y$90,M$66,$C$97:$D100)</f>
        <v>0</v>
      </c>
      <c r="N100" s="35">
        <f>DSUM($B$66:$Y$90,N$66,$C$97:$D100)</f>
        <v>0</v>
      </c>
      <c r="O100" s="35">
        <f>DSUM($B$66:$Y$90,O$66,$C$97:$D100)</f>
        <v>0</v>
      </c>
      <c r="P100" s="35">
        <f>DSUM($B$66:$Y$90,P$66,$C$97:$D100)</f>
        <v>0</v>
      </c>
      <c r="Q100" s="35">
        <f>DSUM($B$66:$Y$90,Q$66,$C$97:$D100)</f>
        <v>0</v>
      </c>
      <c r="R100" s="35">
        <f>DSUM($B$66:$Y$90,R$66,$C$97:$D100)</f>
        <v>0</v>
      </c>
      <c r="S100" s="35">
        <f>DSUM($B$66:$Y$90,S$66,$C$97:$D100)</f>
        <v>0</v>
      </c>
      <c r="T100" s="35">
        <f>DSUM($B$66:$Y$90,T$66,$C$97:$D100)</f>
        <v>0</v>
      </c>
      <c r="U100" s="35">
        <f>DSUM($B$66:$Y$90,U$66,$C$97:$D100)</f>
        <v>0</v>
      </c>
      <c r="V100" s="35">
        <f>DSUM($B$66:$Y$90,V$66,$C$97:$D100)</f>
        <v>0</v>
      </c>
      <c r="W100" s="35">
        <f>DSUM($B$66:$Y$90,W$66,$C$97:$D100)</f>
        <v>0</v>
      </c>
      <c r="X100" s="35">
        <f>DSUM($B$66:$Y$90,X$66,$C$97:$D100)</f>
        <v>0</v>
      </c>
      <c r="Y100" s="35">
        <f>DSUM($B$66:$Y$90,Y$66,$C$97:$D100)</f>
        <v>0</v>
      </c>
      <c r="Z100" s="7"/>
      <c r="AA100" s="7"/>
      <c r="AB100" s="7"/>
      <c r="AC100" s="7"/>
    </row>
    <row r="101" spans="1:29" customFormat="1">
      <c r="A101" s="7"/>
      <c r="B101" s="7" t="s">
        <v>80</v>
      </c>
      <c r="C101" s="51" t="s">
        <v>81</v>
      </c>
      <c r="D101" s="51" t="s">
        <v>82</v>
      </c>
      <c r="E101" s="35">
        <f>DSUM($B$66:$Y$90,E$66,$C$97:$D101)</f>
        <v>0</v>
      </c>
      <c r="F101" s="35">
        <f>DSUM($B$66:$Y$90,F$66,$C$97:$D101)</f>
        <v>0</v>
      </c>
      <c r="G101" s="35">
        <f>DSUM($B$66:$Y$90,G$66,$C$97:$D101)</f>
        <v>0</v>
      </c>
      <c r="H101" s="35">
        <f>DSUM($B$66:$Y$90,H$66,$C$97:$D101)</f>
        <v>0</v>
      </c>
      <c r="I101" s="35">
        <f>DSUM($B$66:$Y$90,I$66,$C$97:$D101)</f>
        <v>0</v>
      </c>
      <c r="J101" s="35">
        <f>DSUM($B$66:$Y$90,J$66,$C$97:$D101)</f>
        <v>0</v>
      </c>
      <c r="K101" s="35">
        <f>DSUM($B$66:$Y$90,K$66,$C$97:$D101)</f>
        <v>0</v>
      </c>
      <c r="L101" s="35">
        <f>DSUM($B$66:$Y$90,L$66,$C$97:$D101)</f>
        <v>0</v>
      </c>
      <c r="M101" s="35">
        <f>DSUM($B$66:$Y$90,M$66,$C$97:$D101)</f>
        <v>0</v>
      </c>
      <c r="N101" s="35">
        <f>DSUM($B$66:$Y$90,N$66,$C$97:$D101)</f>
        <v>0</v>
      </c>
      <c r="O101" s="35">
        <f>DSUM($B$66:$Y$90,O$66,$C$97:$D101)</f>
        <v>0</v>
      </c>
      <c r="P101" s="35">
        <f>DSUM($B$66:$Y$90,P$66,$C$97:$D101)</f>
        <v>0</v>
      </c>
      <c r="Q101" s="35">
        <f>DSUM($B$66:$Y$90,Q$66,$C$97:$D101)</f>
        <v>0</v>
      </c>
      <c r="R101" s="35">
        <f>DSUM($B$66:$Y$90,R$66,$C$97:$D101)</f>
        <v>0</v>
      </c>
      <c r="S101" s="35">
        <f>DSUM($B$66:$Y$90,S$66,$C$97:$D101)</f>
        <v>0</v>
      </c>
      <c r="T101" s="35">
        <f>DSUM($B$66:$Y$90,T$66,$C$97:$D101)</f>
        <v>0</v>
      </c>
      <c r="U101" s="35">
        <f>DSUM($B$66:$Y$90,U$66,$C$97:$D101)</f>
        <v>0</v>
      </c>
      <c r="V101" s="35">
        <f>DSUM($B$66:$Y$90,V$66,$C$97:$D101)</f>
        <v>0</v>
      </c>
      <c r="W101" s="35">
        <f>DSUM($B$66:$Y$90,W$66,$C$97:$D101)</f>
        <v>0</v>
      </c>
      <c r="X101" s="35">
        <f>DSUM($B$66:$Y$90,X$66,$C$97:$D101)</f>
        <v>0</v>
      </c>
      <c r="Y101" s="35">
        <f>DSUM($B$66:$Y$90,Y$66,$C$97:$D101)</f>
        <v>0</v>
      </c>
      <c r="Z101" s="7"/>
      <c r="AA101" s="7"/>
      <c r="AB101" s="7"/>
      <c r="AC101" s="7"/>
    </row>
    <row r="102" spans="1:29" customFormat="1">
      <c r="A102" s="7"/>
      <c r="B102" s="7" t="s">
        <v>83</v>
      </c>
      <c r="C102" s="51" t="s">
        <v>84</v>
      </c>
      <c r="D102" s="51" t="s">
        <v>85</v>
      </c>
      <c r="E102" s="35">
        <f>DSUM($B$66:$Y$90,E$66,$C$97:$D102)</f>
        <v>0</v>
      </c>
      <c r="F102" s="35">
        <f>DSUM($B$66:$Y$90,F$66,$C$97:$D102)</f>
        <v>0</v>
      </c>
      <c r="G102" s="35">
        <f>DSUM($B$66:$Y$90,G$66,$C$97:$D102)</f>
        <v>0</v>
      </c>
      <c r="H102" s="35">
        <f>DSUM($B$66:$Y$90,H$66,$C$97:$D102)</f>
        <v>0</v>
      </c>
      <c r="I102" s="35">
        <f>DSUM($B$66:$Y$90,I$66,$C$97:$D102)</f>
        <v>0</v>
      </c>
      <c r="J102" s="35">
        <f>DSUM($B$66:$Y$90,J$66,$C$97:$D102)</f>
        <v>0</v>
      </c>
      <c r="K102" s="35">
        <f>DSUM($B$66:$Y$90,K$66,$C$97:$D102)</f>
        <v>0</v>
      </c>
      <c r="L102" s="35">
        <f>DSUM($B$66:$Y$90,L$66,$C$97:$D102)</f>
        <v>0</v>
      </c>
      <c r="M102" s="35">
        <f>DSUM($B$66:$Y$90,M$66,$C$97:$D102)</f>
        <v>0</v>
      </c>
      <c r="N102" s="35">
        <f>DSUM($B$66:$Y$90,N$66,$C$97:$D102)</f>
        <v>0</v>
      </c>
      <c r="O102" s="35">
        <f>DSUM($B$66:$Y$90,O$66,$C$97:$D102)</f>
        <v>0</v>
      </c>
      <c r="P102" s="35">
        <f>DSUM($B$66:$Y$90,P$66,$C$97:$D102)</f>
        <v>0</v>
      </c>
      <c r="Q102" s="35">
        <f>DSUM($B$66:$Y$90,Q$66,$C$97:$D102)</f>
        <v>0</v>
      </c>
      <c r="R102" s="35">
        <f>DSUM($B$66:$Y$90,R$66,$C$97:$D102)</f>
        <v>0</v>
      </c>
      <c r="S102" s="35">
        <f>DSUM($B$66:$Y$90,S$66,$C$97:$D102)</f>
        <v>0</v>
      </c>
      <c r="T102" s="35">
        <f>DSUM($B$66:$Y$90,T$66,$C$97:$D102)</f>
        <v>0</v>
      </c>
      <c r="U102" s="35">
        <f>DSUM($B$66:$Y$90,U$66,$C$97:$D102)</f>
        <v>0</v>
      </c>
      <c r="V102" s="35">
        <f>DSUM($B$66:$Y$90,V$66,$C$97:$D102)</f>
        <v>0</v>
      </c>
      <c r="W102" s="35">
        <f>DSUM($B$66:$Y$90,W$66,$C$97:$D102)</f>
        <v>0</v>
      </c>
      <c r="X102" s="35">
        <f>DSUM($B$66:$Y$90,X$66,$C$97:$D102)</f>
        <v>0</v>
      </c>
      <c r="Y102" s="35">
        <f>DSUM($B$66:$Y$90,Y$66,$C$97:$D102)</f>
        <v>0</v>
      </c>
      <c r="Z102" s="7"/>
      <c r="AA102" s="7"/>
      <c r="AB102" s="7"/>
      <c r="AC102" s="7"/>
    </row>
    <row r="103" spans="1:29" customFormat="1">
      <c r="A103" s="7"/>
      <c r="B103" s="7" t="s">
        <v>86</v>
      </c>
      <c r="C103" s="51" t="s">
        <v>87</v>
      </c>
      <c r="D103" s="51" t="s">
        <v>88</v>
      </c>
      <c r="E103" s="35">
        <f>DSUM($B$66:$Y$90,E$66,$C$97:$D103)</f>
        <v>0</v>
      </c>
      <c r="F103" s="35">
        <f>DSUM($B$66:$Y$90,F$66,$C$97:$D103)</f>
        <v>0</v>
      </c>
      <c r="G103" s="35">
        <f>DSUM($B$66:$Y$90,G$66,$C$97:$D103)</f>
        <v>0</v>
      </c>
      <c r="H103" s="35">
        <f>DSUM($B$66:$Y$90,H$66,$C$97:$D103)</f>
        <v>0</v>
      </c>
      <c r="I103" s="35">
        <f>DSUM($B$66:$Y$90,I$66,$C$97:$D103)</f>
        <v>0</v>
      </c>
      <c r="J103" s="35">
        <f>DSUM($B$66:$Y$90,J$66,$C$97:$D103)</f>
        <v>0</v>
      </c>
      <c r="K103" s="35">
        <f>DSUM($B$66:$Y$90,K$66,$C$97:$D103)</f>
        <v>0</v>
      </c>
      <c r="L103" s="35">
        <f>DSUM($B$66:$Y$90,L$66,$C$97:$D103)</f>
        <v>0</v>
      </c>
      <c r="M103" s="35">
        <f>DSUM($B$66:$Y$90,M$66,$C$97:$D103)</f>
        <v>0</v>
      </c>
      <c r="N103" s="35">
        <f>DSUM($B$66:$Y$90,N$66,$C$97:$D103)</f>
        <v>0</v>
      </c>
      <c r="O103" s="35">
        <f>DSUM($B$66:$Y$90,O$66,$C$97:$D103)</f>
        <v>0</v>
      </c>
      <c r="P103" s="35">
        <f>DSUM($B$66:$Y$90,P$66,$C$97:$D103)</f>
        <v>0</v>
      </c>
      <c r="Q103" s="35">
        <f>DSUM($B$66:$Y$90,Q$66,$C$97:$D103)</f>
        <v>0</v>
      </c>
      <c r="R103" s="35">
        <f>DSUM($B$66:$Y$90,R$66,$C$97:$D103)</f>
        <v>0</v>
      </c>
      <c r="S103" s="35">
        <f>DSUM($B$66:$Y$90,S$66,$C$97:$D103)</f>
        <v>0</v>
      </c>
      <c r="T103" s="35">
        <f>DSUM($B$66:$Y$90,T$66,$C$97:$D103)</f>
        <v>0</v>
      </c>
      <c r="U103" s="35">
        <f>DSUM($B$66:$Y$90,U$66,$C$97:$D103)</f>
        <v>0</v>
      </c>
      <c r="V103" s="35">
        <f>DSUM($B$66:$Y$90,V$66,$C$97:$D103)</f>
        <v>0</v>
      </c>
      <c r="W103" s="35">
        <f>DSUM($B$66:$Y$90,W$66,$C$97:$D103)</f>
        <v>0</v>
      </c>
      <c r="X103" s="35">
        <f>DSUM($B$66:$Y$90,X$66,$C$97:$D103)</f>
        <v>0</v>
      </c>
      <c r="Y103" s="35">
        <f>DSUM($B$66:$Y$90,Y$66,$C$97:$D103)</f>
        <v>0</v>
      </c>
      <c r="Z103" s="7"/>
      <c r="AA103" s="7"/>
      <c r="AB103" s="7"/>
      <c r="AC103" s="7"/>
    </row>
    <row r="104" spans="1:29" customFormat="1">
      <c r="A104" s="7"/>
      <c r="B104" s="7" t="s">
        <v>89</v>
      </c>
      <c r="C104" s="51" t="s">
        <v>90</v>
      </c>
      <c r="D104" s="51" t="s">
        <v>91</v>
      </c>
      <c r="E104" s="35">
        <f>DSUM($B$66:$Y$90,E$66,$C$97:$D104)</f>
        <v>0</v>
      </c>
      <c r="F104" s="35">
        <f>DSUM($B$66:$Y$90,F$66,$C$97:$D104)</f>
        <v>0</v>
      </c>
      <c r="G104" s="35">
        <f>DSUM($B$66:$Y$90,G$66,$C$97:$D104)</f>
        <v>0</v>
      </c>
      <c r="H104" s="35">
        <f>DSUM($B$66:$Y$90,H$66,$C$97:$D104)</f>
        <v>0</v>
      </c>
      <c r="I104" s="35">
        <f>DSUM($B$66:$Y$90,I$66,$C$97:$D104)</f>
        <v>0</v>
      </c>
      <c r="J104" s="35">
        <f>DSUM($B$66:$Y$90,J$66,$C$97:$D104)</f>
        <v>0</v>
      </c>
      <c r="K104" s="35">
        <f>DSUM($B$66:$Y$90,K$66,$C$97:$D104)</f>
        <v>0</v>
      </c>
      <c r="L104" s="35">
        <f>DSUM($B$66:$Y$90,L$66,$C$97:$D104)</f>
        <v>0</v>
      </c>
      <c r="M104" s="35">
        <f>DSUM($B$66:$Y$90,M$66,$C$97:$D104)</f>
        <v>0</v>
      </c>
      <c r="N104" s="35">
        <f>DSUM($B$66:$Y$90,N$66,$C$97:$D104)</f>
        <v>0</v>
      </c>
      <c r="O104" s="35">
        <f>DSUM($B$66:$Y$90,O$66,$C$97:$D104)</f>
        <v>0</v>
      </c>
      <c r="P104" s="35">
        <f>DSUM($B$66:$Y$90,P$66,$C$97:$D104)</f>
        <v>0</v>
      </c>
      <c r="Q104" s="35">
        <f>DSUM($B$66:$Y$90,Q$66,$C$97:$D104)</f>
        <v>0</v>
      </c>
      <c r="R104" s="35">
        <f>DSUM($B$66:$Y$90,R$66,$C$97:$D104)</f>
        <v>0</v>
      </c>
      <c r="S104" s="35">
        <f>DSUM($B$66:$Y$90,S$66,$C$97:$D104)</f>
        <v>0</v>
      </c>
      <c r="T104" s="35">
        <f>DSUM($B$66:$Y$90,T$66,$C$97:$D104)</f>
        <v>0</v>
      </c>
      <c r="U104" s="35">
        <f>DSUM($B$66:$Y$90,U$66,$C$97:$D104)</f>
        <v>0</v>
      </c>
      <c r="V104" s="35">
        <f>DSUM($B$66:$Y$90,V$66,$C$97:$D104)</f>
        <v>0</v>
      </c>
      <c r="W104" s="35">
        <f>DSUM($B$66:$Y$90,W$66,$C$97:$D104)</f>
        <v>0</v>
      </c>
      <c r="X104" s="35">
        <f>DSUM($B$66:$Y$90,X$66,$C$97:$D104)</f>
        <v>0</v>
      </c>
      <c r="Y104" s="35">
        <f>DSUM($B$66:$Y$90,Y$66,$C$97:$D104)</f>
        <v>0</v>
      </c>
      <c r="Z104" s="7"/>
      <c r="AA104" s="7"/>
      <c r="AB104" s="7"/>
      <c r="AC104" s="7"/>
    </row>
    <row r="105" spans="1:29" customFormat="1">
      <c r="A105" s="7"/>
      <c r="B105" s="7" t="s">
        <v>92</v>
      </c>
      <c r="C105" s="51" t="s">
        <v>93</v>
      </c>
      <c r="D105" s="51" t="s">
        <v>94</v>
      </c>
      <c r="E105" s="35">
        <f ca="1">DSUM($B$66:$Y$90,E$66,$C$97:$D105)</f>
        <v>9.4091709804466656E-2</v>
      </c>
      <c r="F105" s="35">
        <f ca="1">DSUM($B$66:$Y$90,F$66,$C$97:$D105)</f>
        <v>0.24129560553504709</v>
      </c>
      <c r="G105" s="35">
        <f ca="1">DSUM($B$66:$Y$90,G$66,$C$97:$D105)</f>
        <v>0.53469984312626517</v>
      </c>
      <c r="H105" s="35">
        <f ca="1">DSUM($B$66:$Y$90,H$66,$C$97:$D105)</f>
        <v>1.0463525573636825</v>
      </c>
      <c r="I105" s="35">
        <f ca="1">DSUM($B$66:$Y$90,I$66,$C$97:$D105)</f>
        <v>1.8393473791299031</v>
      </c>
      <c r="J105" s="35">
        <f ca="1">DSUM($B$66:$Y$90,J$66,$C$97:$D105)</f>
        <v>2.9452717662830756</v>
      </c>
      <c r="K105" s="35">
        <f ca="1">DSUM($B$66:$Y$90,K$66,$C$97:$D105)</f>
        <v>4.3470360990253063</v>
      </c>
      <c r="L105" s="35">
        <f ca="1">DSUM($B$66:$Y$90,L$66,$C$97:$D105)</f>
        <v>5.9751278598941076</v>
      </c>
      <c r="M105" s="35">
        <f ca="1">DSUM($B$66:$Y$90,M$66,$C$97:$D105)</f>
        <v>7.7197339569890993</v>
      </c>
      <c r="N105" s="35">
        <f ca="1">DSUM($B$66:$Y$90,N$66,$C$97:$D105)</f>
        <v>9.454364487981012</v>
      </c>
      <c r="O105" s="35">
        <f ca="1">DSUM($B$66:$Y$90,O$66,$C$97:$D105)</f>
        <v>11.062309286335996</v>
      </c>
      <c r="P105" s="35">
        <f ca="1">DSUM($B$66:$Y$90,P$66,$C$97:$D105)</f>
        <v>12.457297028159928</v>
      </c>
      <c r="Q105" s="35">
        <f ca="1">DSUM($B$66:$Y$90,Q$66,$C$97:$D105)</f>
        <v>13.593312627483961</v>
      </c>
      <c r="R105" s="35">
        <f ca="1">DSUM($B$66:$Y$90,R$66,$C$97:$D105)</f>
        <v>17.194013616830212</v>
      </c>
      <c r="S105" s="35">
        <f ca="1">DSUM($B$66:$Y$90,S$66,$C$97:$D105)</f>
        <v>17.806005597417055</v>
      </c>
      <c r="T105" s="35">
        <f ca="1">DSUM($B$66:$Y$90,T$66,$C$97:$D105)</f>
        <v>18.134046979438953</v>
      </c>
      <c r="U105" s="35">
        <f ca="1">DSUM($B$66:$Y$90,U$66,$C$97:$D105)</f>
        <v>18.303936935186272</v>
      </c>
      <c r="V105" s="35">
        <f ca="1">DSUM($B$66:$Y$90,V$66,$C$97:$D105)</f>
        <v>18.318677954024992</v>
      </c>
      <c r="W105" s="35">
        <f ca="1">DSUM($B$66:$Y$90,W$66,$C$97:$D105)</f>
        <v>18.164659966177247</v>
      </c>
      <c r="X105" s="35">
        <f ca="1">DSUM($B$66:$Y$90,X$66,$C$97:$D105)</f>
        <v>17.972294842808601</v>
      </c>
      <c r="Y105" s="35">
        <f ca="1">DSUM($B$66:$Y$90,Y$66,$C$97:$D105)</f>
        <v>227.39057275703874</v>
      </c>
      <c r="Z105" s="7"/>
      <c r="AA105" s="7"/>
      <c r="AB105" s="7"/>
      <c r="AC105" s="7"/>
    </row>
    <row r="106" spans="1:29" customFormat="1">
      <c r="A106" s="7"/>
      <c r="B106" s="7" t="s">
        <v>95</v>
      </c>
      <c r="C106" s="51" t="s">
        <v>96</v>
      </c>
      <c r="D106" s="51" t="s">
        <v>97</v>
      </c>
      <c r="E106" s="35">
        <f ca="1">DSUM($B$66:$Y$90,E$66,$C$97:$D106)</f>
        <v>9.8839556773498677E-2</v>
      </c>
      <c r="F106" s="35">
        <f ca="1">DSUM($B$66:$Y$90,F$66,$C$97:$D106)</f>
        <v>0.25337612822598921</v>
      </c>
      <c r="G106" s="35">
        <f ca="1">DSUM($B$66:$Y$90,G$66,$C$97:$D106)</f>
        <v>0.56126028029937525</v>
      </c>
      <c r="H106" s="35">
        <f ca="1">DSUM($B$66:$Y$90,H$66,$C$97:$D106)</f>
        <v>1.097921705339951</v>
      </c>
      <c r="I106" s="35">
        <f ca="1">DSUM($B$66:$Y$90,I$66,$C$97:$D106)</f>
        <v>1.929288924760916</v>
      </c>
      <c r="J106" s="35">
        <f ca="1">DSUM($B$66:$Y$90,J$66,$C$97:$D106)</f>
        <v>3.0881626657193038</v>
      </c>
      <c r="K106" s="35">
        <f ca="1">DSUM($B$66:$Y$90,K$66,$C$97:$D106)</f>
        <v>4.5562800917856974</v>
      </c>
      <c r="L106" s="35">
        <f ca="1">DSUM($B$66:$Y$90,L$66,$C$97:$D106)</f>
        <v>6.2604828522823741</v>
      </c>
      <c r="M106" s="35">
        <f ca="1">DSUM($B$66:$Y$90,M$66,$C$97:$D106)</f>
        <v>8.0855115558356356</v>
      </c>
      <c r="N106" s="35">
        <f ca="1">DSUM($B$66:$Y$90,N$66,$C$97:$D106)</f>
        <v>9.8988131517973521</v>
      </c>
      <c r="O106" s="35">
        <f ca="1">DSUM($B$66:$Y$90,O$66,$C$97:$D106)</f>
        <v>11.578259219663696</v>
      </c>
      <c r="P106" s="35">
        <f ca="1">DSUM($B$66:$Y$90,P$66,$C$97:$D106)</f>
        <v>13.033739679564347</v>
      </c>
      <c r="Q106" s="35">
        <f ca="1">DSUM($B$66:$Y$90,Q$66,$C$97:$D106)</f>
        <v>14.217372348735976</v>
      </c>
      <c r="R106" s="35">
        <f ca="1">DSUM($B$66:$Y$90,R$66,$C$97:$D106)</f>
        <v>17.884827229759718</v>
      </c>
      <c r="S106" s="35">
        <f ca="1">DSUM($B$66:$Y$90,S$66,$C$97:$D106)</f>
        <v>18.521407793958062</v>
      </c>
      <c r="T106" s="35">
        <f ca="1">DSUM($B$66:$Y$90,T$66,$C$97:$D106)</f>
        <v>18.864816745393856</v>
      </c>
      <c r="U106" s="35">
        <f ca="1">DSUM($B$66:$Y$90,U$66,$C$97:$D106)</f>
        <v>19.042147021675973</v>
      </c>
      <c r="V106" s="35">
        <f ca="1">DSUM($B$66:$Y$90,V$66,$C$97:$D106)</f>
        <v>19.055954961141854</v>
      </c>
      <c r="W106" s="35">
        <f ca="1">DSUM($B$66:$Y$90,W$66,$C$97:$D106)</f>
        <v>18.897365002212958</v>
      </c>
      <c r="X106" s="35">
        <f ca="1">DSUM($B$66:$Y$90,X$66,$C$97:$D106)</f>
        <v>18.698212968740251</v>
      </c>
      <c r="Y106" s="35">
        <f ca="1">DSUM($B$66:$Y$90,Y$66,$C$97:$D106)</f>
        <v>236.73152545048143</v>
      </c>
      <c r="Z106" s="7"/>
      <c r="AA106" s="7"/>
      <c r="AB106" s="7"/>
      <c r="AC106" s="7"/>
    </row>
    <row r="107" spans="1:29" customFormat="1">
      <c r="A107" s="7"/>
      <c r="B107" s="7" t="s">
        <v>98</v>
      </c>
      <c r="C107" s="51" t="s">
        <v>99</v>
      </c>
      <c r="D107" s="51" t="s">
        <v>100</v>
      </c>
      <c r="E107" s="35">
        <f ca="1">DSUM($B$66:$Y$90,E$66,$C$97:$D107)</f>
        <v>0.11067990488011994</v>
      </c>
      <c r="F107" s="35">
        <f ca="1">DSUM($B$66:$Y$90,F$66,$C$97:$D107)</f>
        <v>0.28359697705435605</v>
      </c>
      <c r="G107" s="35">
        <f ca="1">DSUM($B$66:$Y$90,G$66,$C$97:$D107)</f>
        <v>0.62791280146571604</v>
      </c>
      <c r="H107" s="35">
        <f ca="1">DSUM($B$66:$Y$90,H$66,$C$97:$D107)</f>
        <v>1.2277409323060759</v>
      </c>
      <c r="I107" s="35">
        <f ca="1">DSUM($B$66:$Y$90,I$66,$C$97:$D107)</f>
        <v>2.156424099848075</v>
      </c>
      <c r="J107" s="35">
        <f ca="1">DSUM($B$66:$Y$90,J$66,$C$97:$D107)</f>
        <v>3.4501646144791023</v>
      </c>
      <c r="K107" s="35">
        <f ca="1">DSUM($B$66:$Y$90,K$66,$C$97:$D107)</f>
        <v>5.088080839691604</v>
      </c>
      <c r="L107" s="35">
        <f ca="1">DSUM($B$66:$Y$90,L$66,$C$97:$D107)</f>
        <v>6.9880588436660487</v>
      </c>
      <c r="M107" s="35">
        <f ca="1">DSUM($B$66:$Y$90,M$66,$C$97:$D107)</f>
        <v>9.0211633969392899</v>
      </c>
      <c r="N107" s="35">
        <f ca="1">DSUM($B$66:$Y$90,N$66,$C$97:$D107)</f>
        <v>11.039405428212353</v>
      </c>
      <c r="O107" s="35">
        <f ca="1">DSUM($B$66:$Y$90,O$66,$C$97:$D107)</f>
        <v>12.90667923005488</v>
      </c>
      <c r="P107" s="35">
        <f ca="1">DSUM($B$66:$Y$90,P$66,$C$97:$D107)</f>
        <v>14.522793424910015</v>
      </c>
      <c r="Q107" s="35">
        <f ca="1">DSUM($B$66:$Y$90,Q$66,$C$97:$D107)</f>
        <v>15.834760444644351</v>
      </c>
      <c r="R107" s="35">
        <f ca="1">DSUM($B$66:$Y$90,R$66,$C$97:$D107)</f>
        <v>19.782194689322328</v>
      </c>
      <c r="S107" s="35">
        <f ca="1">DSUM($B$66:$Y$90,S$66,$C$97:$D107)</f>
        <v>20.486309210173243</v>
      </c>
      <c r="T107" s="35">
        <f ca="1">DSUM($B$66:$Y$90,T$66,$C$97:$D107)</f>
        <v>20.86921292148018</v>
      </c>
      <c r="U107" s="35">
        <f ca="1">DSUM($B$66:$Y$90,U$66,$C$97:$D107)</f>
        <v>21.066216327818317</v>
      </c>
      <c r="V107" s="35">
        <f ca="1">DSUM($B$66:$Y$90,V$66,$C$97:$D107)</f>
        <v>21.079353357765111</v>
      </c>
      <c r="W107" s="35">
        <f ca="1">DSUM($B$66:$Y$90,W$66,$C$97:$D107)</f>
        <v>20.906201738358014</v>
      </c>
      <c r="X107" s="35">
        <f ca="1">DSUM($B$66:$Y$90,X$66,$C$97:$D107)</f>
        <v>20.687240818068407</v>
      </c>
      <c r="Y107" s="35">
        <f ca="1">DSUM($B$66:$Y$90,Y$66,$C$97:$D107)</f>
        <v>262.13289862216931</v>
      </c>
      <c r="Z107" s="7"/>
      <c r="AA107" s="7"/>
      <c r="AB107" s="7"/>
      <c r="AC107" s="7"/>
    </row>
    <row r="108" spans="1:29" customFormat="1">
      <c r="A108" s="7"/>
      <c r="B108" s="7" t="s">
        <v>101</v>
      </c>
      <c r="C108" s="51" t="s">
        <v>102</v>
      </c>
      <c r="D108" s="51" t="s">
        <v>103</v>
      </c>
      <c r="E108" s="35">
        <f ca="1">DSUM($B$66:$Y$90,E$66,$C$97:$D108)</f>
        <v>0.11222936142245479</v>
      </c>
      <c r="F108" s="35">
        <f ca="1">DSUM($B$66:$Y$90,F$66,$C$97:$D108)</f>
        <v>0.28757298626642203</v>
      </c>
      <c r="G108" s="35">
        <f ca="1">DSUM($B$66:$Y$90,G$66,$C$97:$D108)</f>
        <v>0.63672888800351446</v>
      </c>
      <c r="H108" s="35">
        <f ca="1">DSUM($B$66:$Y$90,H$66,$C$97:$D108)</f>
        <v>1.2450036651887917</v>
      </c>
      <c r="I108" s="35">
        <f ca="1">DSUM($B$66:$Y$90,I$66,$C$97:$D108)</f>
        <v>2.1867880947556917</v>
      </c>
      <c r="J108" s="35">
        <f ca="1">DSUM($B$66:$Y$90,J$66,$C$97:$D108)</f>
        <v>3.4988145313158614</v>
      </c>
      <c r="K108" s="35">
        <f ca="1">DSUM($B$66:$Y$90,K$66,$C$97:$D108)</f>
        <v>5.1599279821427855</v>
      </c>
      <c r="L108" s="35">
        <f ca="1">DSUM($B$66:$Y$90,L$66,$C$97:$D108)</f>
        <v>7.086873404593371</v>
      </c>
      <c r="M108" s="35">
        <f ca="1">DSUM($B$66:$Y$90,M$66,$C$97:$D108)</f>
        <v>9.1489047593426935</v>
      </c>
      <c r="N108" s="35">
        <f ca="1">DSUM($B$66:$Y$90,N$66,$C$97:$D108)</f>
        <v>11.195941709679897</v>
      </c>
      <c r="O108" s="35">
        <f ca="1">DSUM($B$66:$Y$90,O$66,$C$97:$D108)</f>
        <v>13.089944401560251</v>
      </c>
      <c r="P108" s="35">
        <f ca="1">DSUM($B$66:$Y$90,P$66,$C$97:$D108)</f>
        <v>14.729287432471631</v>
      </c>
      <c r="Q108" s="35">
        <f ca="1">DSUM($B$66:$Y$90,Q$66,$C$97:$D108)</f>
        <v>16.060213677714643</v>
      </c>
      <c r="R108" s="35">
        <f ca="1">DSUM($B$66:$Y$90,R$66,$C$97:$D108)</f>
        <v>20.069925139605395</v>
      </c>
      <c r="S108" s="35">
        <f ca="1">DSUM($B$66:$Y$90,S$66,$C$97:$D108)</f>
        <v>20.784280935528187</v>
      </c>
      <c r="T108" s="35">
        <f ca="1">DSUM($B$66:$Y$90,T$66,$C$97:$D108)</f>
        <v>21.172617432257709</v>
      </c>
      <c r="U108" s="35">
        <f ca="1">DSUM($B$66:$Y$90,U$66,$C$97:$D108)</f>
        <v>21.37244788687735</v>
      </c>
      <c r="V108" s="35">
        <f ca="1">DSUM($B$66:$Y$90,V$66,$C$97:$D108)</f>
        <v>21.385871180758276</v>
      </c>
      <c r="W108" s="35">
        <f ca="1">DSUM($B$66:$Y$90,W$66,$C$97:$D108)</f>
        <v>21.210100234209431</v>
      </c>
      <c r="X108" s="35">
        <f ca="1">DSUM($B$66:$Y$90,X$66,$C$97:$D108)</f>
        <v>20.987895769558151</v>
      </c>
      <c r="Y108" s="35">
        <f ca="1">DSUM($B$66:$Y$90,Y$66,$C$97:$D108)</f>
        <v>265.93281096128021</v>
      </c>
      <c r="Z108" s="7"/>
      <c r="AA108" s="7"/>
      <c r="AB108" s="7"/>
      <c r="AC108" s="7"/>
    </row>
    <row r="109" spans="1:29" customFormat="1">
      <c r="A109" s="7"/>
      <c r="B109" s="7" t="s">
        <v>104</v>
      </c>
      <c r="C109" s="51" t="s">
        <v>105</v>
      </c>
      <c r="D109" s="51" t="s">
        <v>106</v>
      </c>
      <c r="E109" s="35">
        <f ca="1">DSUM($B$66:$Y$90,E$66,$C$97:$D109)</f>
        <v>0.11222936142245479</v>
      </c>
      <c r="F109" s="35">
        <f ca="1">DSUM($B$66:$Y$90,F$66,$C$97:$D109)</f>
        <v>0.28757298626642203</v>
      </c>
      <c r="G109" s="35">
        <f ca="1">DSUM($B$66:$Y$90,G$66,$C$97:$D109)</f>
        <v>0.63672888800351446</v>
      </c>
      <c r="H109" s="35">
        <f ca="1">DSUM($B$66:$Y$90,H$66,$C$97:$D109)</f>
        <v>1.2450036651887917</v>
      </c>
      <c r="I109" s="35">
        <f ca="1">DSUM($B$66:$Y$90,I$66,$C$97:$D109)</f>
        <v>2.1867880947556917</v>
      </c>
      <c r="J109" s="35">
        <f ca="1">DSUM($B$66:$Y$90,J$66,$C$97:$D109)</f>
        <v>3.4988145313158614</v>
      </c>
      <c r="K109" s="35">
        <f ca="1">DSUM($B$66:$Y$90,K$66,$C$97:$D109)</f>
        <v>5.1599279821427855</v>
      </c>
      <c r="L109" s="35">
        <f ca="1">DSUM($B$66:$Y$90,L$66,$C$97:$D109)</f>
        <v>7.086873404593371</v>
      </c>
      <c r="M109" s="35">
        <f ca="1">DSUM($B$66:$Y$90,M$66,$C$97:$D109)</f>
        <v>9.1489047593426935</v>
      </c>
      <c r="N109" s="35">
        <f ca="1">DSUM($B$66:$Y$90,N$66,$C$97:$D109)</f>
        <v>11.195941709679897</v>
      </c>
      <c r="O109" s="35">
        <f ca="1">DSUM($B$66:$Y$90,O$66,$C$97:$D109)</f>
        <v>13.089944401560251</v>
      </c>
      <c r="P109" s="35">
        <f ca="1">DSUM($B$66:$Y$90,P$66,$C$97:$D109)</f>
        <v>14.729287432471631</v>
      </c>
      <c r="Q109" s="35">
        <f ca="1">DSUM($B$66:$Y$90,Q$66,$C$97:$D109)</f>
        <v>16.060213677714643</v>
      </c>
      <c r="R109" s="35">
        <f ca="1">DSUM($B$66:$Y$90,R$66,$C$97:$D109)</f>
        <v>20.069925139605395</v>
      </c>
      <c r="S109" s="35">
        <f ca="1">DSUM($B$66:$Y$90,S$66,$C$97:$D109)</f>
        <v>20.784280935528187</v>
      </c>
      <c r="T109" s="35">
        <f ca="1">DSUM($B$66:$Y$90,T$66,$C$97:$D109)</f>
        <v>21.172617432257709</v>
      </c>
      <c r="U109" s="35">
        <f ca="1">DSUM($B$66:$Y$90,U$66,$C$97:$D109)</f>
        <v>21.37244788687735</v>
      </c>
      <c r="V109" s="35">
        <f ca="1">DSUM($B$66:$Y$90,V$66,$C$97:$D109)</f>
        <v>21.385871180758276</v>
      </c>
      <c r="W109" s="35">
        <f ca="1">DSUM($B$66:$Y$90,W$66,$C$97:$D109)</f>
        <v>21.210100234209431</v>
      </c>
      <c r="X109" s="35">
        <f ca="1">DSUM($B$66:$Y$90,X$66,$C$97:$D109)</f>
        <v>20.987895769558151</v>
      </c>
      <c r="Y109" s="35">
        <f ca="1">DSUM($B$66:$Y$90,Y$66,$C$97:$D109)</f>
        <v>265.93281096128021</v>
      </c>
      <c r="Z109" s="7"/>
      <c r="AA109" s="7"/>
      <c r="AB109" s="7"/>
      <c r="AC109" s="7"/>
    </row>
    <row r="110" spans="1:29" customFormat="1">
      <c r="A110" s="7"/>
      <c r="B110" s="7" t="s">
        <v>107</v>
      </c>
      <c r="C110" s="51" t="s">
        <v>108</v>
      </c>
      <c r="D110" s="51" t="s">
        <v>109</v>
      </c>
      <c r="E110" s="35">
        <f ca="1">DSUM($B$66:$Y$90,E$66,$C$97:$D110)</f>
        <v>0.11222936142245479</v>
      </c>
      <c r="F110" s="35">
        <f ca="1">DSUM($B$66:$Y$90,F$66,$C$97:$D110)</f>
        <v>0.28757298626642203</v>
      </c>
      <c r="G110" s="35">
        <f ca="1">DSUM($B$66:$Y$90,G$66,$C$97:$D110)</f>
        <v>0.63672888800351446</v>
      </c>
      <c r="H110" s="35">
        <f ca="1">DSUM($B$66:$Y$90,H$66,$C$97:$D110)</f>
        <v>1.2450036651887917</v>
      </c>
      <c r="I110" s="35">
        <f ca="1">DSUM($B$66:$Y$90,I$66,$C$97:$D110)</f>
        <v>2.1867880947556917</v>
      </c>
      <c r="J110" s="35">
        <f ca="1">DSUM($B$66:$Y$90,J$66,$C$97:$D110)</f>
        <v>3.4988145313158614</v>
      </c>
      <c r="K110" s="35">
        <f ca="1">DSUM($B$66:$Y$90,K$66,$C$97:$D110)</f>
        <v>5.1599279821427855</v>
      </c>
      <c r="L110" s="35">
        <f ca="1">DSUM($B$66:$Y$90,L$66,$C$97:$D110)</f>
        <v>7.086873404593371</v>
      </c>
      <c r="M110" s="35">
        <f ca="1">DSUM($B$66:$Y$90,M$66,$C$97:$D110)</f>
        <v>9.1489047593426935</v>
      </c>
      <c r="N110" s="35">
        <f ca="1">DSUM($B$66:$Y$90,N$66,$C$97:$D110)</f>
        <v>11.195941709679897</v>
      </c>
      <c r="O110" s="35">
        <f ca="1">DSUM($B$66:$Y$90,O$66,$C$97:$D110)</f>
        <v>13.089944401560251</v>
      </c>
      <c r="P110" s="35">
        <f ca="1">DSUM($B$66:$Y$90,P$66,$C$97:$D110)</f>
        <v>14.729287432471631</v>
      </c>
      <c r="Q110" s="35">
        <f ca="1">DSUM($B$66:$Y$90,Q$66,$C$97:$D110)</f>
        <v>16.060213677714643</v>
      </c>
      <c r="R110" s="35">
        <f ca="1">DSUM($B$66:$Y$90,R$66,$C$97:$D110)</f>
        <v>20.069925139605395</v>
      </c>
      <c r="S110" s="35">
        <f ca="1">DSUM($B$66:$Y$90,S$66,$C$97:$D110)</f>
        <v>20.784280935528187</v>
      </c>
      <c r="T110" s="35">
        <f ca="1">DSUM($B$66:$Y$90,T$66,$C$97:$D110)</f>
        <v>21.172617432257709</v>
      </c>
      <c r="U110" s="35">
        <f ca="1">DSUM($B$66:$Y$90,U$66,$C$97:$D110)</f>
        <v>21.37244788687735</v>
      </c>
      <c r="V110" s="35">
        <f ca="1">DSUM($B$66:$Y$90,V$66,$C$97:$D110)</f>
        <v>21.385871180758276</v>
      </c>
      <c r="W110" s="35">
        <f ca="1">DSUM($B$66:$Y$90,W$66,$C$97:$D110)</f>
        <v>21.210100234209431</v>
      </c>
      <c r="X110" s="35">
        <f ca="1">DSUM($B$66:$Y$90,X$66,$C$97:$D110)</f>
        <v>20.987895769558151</v>
      </c>
      <c r="Y110" s="35">
        <f ca="1">DSUM($B$66:$Y$90,Y$66,$C$97:$D110)</f>
        <v>265.93281096128021</v>
      </c>
      <c r="Z110" s="7"/>
      <c r="AA110" s="7"/>
      <c r="AB110" s="7"/>
      <c r="AC110" s="7"/>
    </row>
    <row r="111" spans="1:29" customFormat="1">
      <c r="A111" s="7"/>
      <c r="B111" s="7" t="s">
        <v>110</v>
      </c>
      <c r="C111" s="51" t="s">
        <v>111</v>
      </c>
      <c r="D111" s="51" t="s">
        <v>112</v>
      </c>
      <c r="E111" s="35">
        <f ca="1">DSUM($B$66:$Y$90,E$66,$C$97:$D111)</f>
        <v>0.11222936142245479</v>
      </c>
      <c r="F111" s="35">
        <f ca="1">DSUM($B$66:$Y$90,F$66,$C$97:$D111)</f>
        <v>0.28757298626642203</v>
      </c>
      <c r="G111" s="35">
        <f ca="1">DSUM($B$66:$Y$90,G$66,$C$97:$D111)</f>
        <v>0.63672888800351446</v>
      </c>
      <c r="H111" s="35">
        <f ca="1">DSUM($B$66:$Y$90,H$66,$C$97:$D111)</f>
        <v>1.2450036651887917</v>
      </c>
      <c r="I111" s="35">
        <f ca="1">DSUM($B$66:$Y$90,I$66,$C$97:$D111)</f>
        <v>2.1867880947556917</v>
      </c>
      <c r="J111" s="35">
        <f ca="1">DSUM($B$66:$Y$90,J$66,$C$97:$D111)</f>
        <v>3.4988145313158614</v>
      </c>
      <c r="K111" s="35">
        <f ca="1">DSUM($B$66:$Y$90,K$66,$C$97:$D111)</f>
        <v>5.1599279821427855</v>
      </c>
      <c r="L111" s="35">
        <f ca="1">DSUM($B$66:$Y$90,L$66,$C$97:$D111)</f>
        <v>7.086873404593371</v>
      </c>
      <c r="M111" s="35">
        <f ca="1">DSUM($B$66:$Y$90,M$66,$C$97:$D111)</f>
        <v>9.1489047593426935</v>
      </c>
      <c r="N111" s="35">
        <f ca="1">DSUM($B$66:$Y$90,N$66,$C$97:$D111)</f>
        <v>11.195941709679897</v>
      </c>
      <c r="O111" s="35">
        <f ca="1">DSUM($B$66:$Y$90,O$66,$C$97:$D111)</f>
        <v>13.089944401560251</v>
      </c>
      <c r="P111" s="35">
        <f ca="1">DSUM($B$66:$Y$90,P$66,$C$97:$D111)</f>
        <v>14.729287432471631</v>
      </c>
      <c r="Q111" s="35">
        <f ca="1">DSUM($B$66:$Y$90,Q$66,$C$97:$D111)</f>
        <v>16.060213677714643</v>
      </c>
      <c r="R111" s="35">
        <f ca="1">DSUM($B$66:$Y$90,R$66,$C$97:$D111)</f>
        <v>20.069925139605395</v>
      </c>
      <c r="S111" s="35">
        <f ca="1">DSUM($B$66:$Y$90,S$66,$C$97:$D111)</f>
        <v>20.784280935528187</v>
      </c>
      <c r="T111" s="35">
        <f ca="1">DSUM($B$66:$Y$90,T$66,$C$97:$D111)</f>
        <v>21.172617432257709</v>
      </c>
      <c r="U111" s="35">
        <f ca="1">DSUM($B$66:$Y$90,U$66,$C$97:$D111)</f>
        <v>21.37244788687735</v>
      </c>
      <c r="V111" s="35">
        <f ca="1">DSUM($B$66:$Y$90,V$66,$C$97:$D111)</f>
        <v>21.385871180758276</v>
      </c>
      <c r="W111" s="35">
        <f ca="1">DSUM($B$66:$Y$90,W$66,$C$97:$D111)</f>
        <v>21.210100234209431</v>
      </c>
      <c r="X111" s="35">
        <f ca="1">DSUM($B$66:$Y$90,X$66,$C$97:$D111)</f>
        <v>20.987895769558151</v>
      </c>
      <c r="Y111" s="35">
        <f ca="1">DSUM($B$66:$Y$90,Y$66,$C$97:$D111)</f>
        <v>265.93281096128021</v>
      </c>
      <c r="Z111" s="7"/>
      <c r="AA111" s="7"/>
      <c r="AB111" s="7"/>
      <c r="AC111" s="7"/>
    </row>
    <row r="112" spans="1:29" customFormat="1">
      <c r="A112" s="7"/>
      <c r="B112" s="7" t="s">
        <v>113</v>
      </c>
      <c r="C112" s="51" t="s">
        <v>114</v>
      </c>
      <c r="D112" s="51" t="s">
        <v>115</v>
      </c>
      <c r="E112" s="35">
        <f ca="1">DSUM($B$66:$Y$90,E$66,$C$97:$D112)</f>
        <v>0.11222936142245479</v>
      </c>
      <c r="F112" s="35">
        <f ca="1">DSUM($B$66:$Y$90,F$66,$C$97:$D112)</f>
        <v>0.28757298626642203</v>
      </c>
      <c r="G112" s="35">
        <f ca="1">DSUM($B$66:$Y$90,G$66,$C$97:$D112)</f>
        <v>0.63672888800351446</v>
      </c>
      <c r="H112" s="35">
        <f ca="1">DSUM($B$66:$Y$90,H$66,$C$97:$D112)</f>
        <v>1.2450036651887917</v>
      </c>
      <c r="I112" s="35">
        <f ca="1">DSUM($B$66:$Y$90,I$66,$C$97:$D112)</f>
        <v>2.1867880947556917</v>
      </c>
      <c r="J112" s="35">
        <f ca="1">DSUM($B$66:$Y$90,J$66,$C$97:$D112)</f>
        <v>3.4988145313158614</v>
      </c>
      <c r="K112" s="35">
        <f ca="1">DSUM($B$66:$Y$90,K$66,$C$97:$D112)</f>
        <v>5.1599279821427855</v>
      </c>
      <c r="L112" s="35">
        <f ca="1">DSUM($B$66:$Y$90,L$66,$C$97:$D112)</f>
        <v>7.086873404593371</v>
      </c>
      <c r="M112" s="35">
        <f ca="1">DSUM($B$66:$Y$90,M$66,$C$97:$D112)</f>
        <v>9.1489047593426935</v>
      </c>
      <c r="N112" s="35">
        <f ca="1">DSUM($B$66:$Y$90,N$66,$C$97:$D112)</f>
        <v>11.195941709679897</v>
      </c>
      <c r="O112" s="35">
        <f ca="1">DSUM($B$66:$Y$90,O$66,$C$97:$D112)</f>
        <v>13.089944401560251</v>
      </c>
      <c r="P112" s="35">
        <f ca="1">DSUM($B$66:$Y$90,P$66,$C$97:$D112)</f>
        <v>14.729287432471631</v>
      </c>
      <c r="Q112" s="35">
        <f ca="1">DSUM($B$66:$Y$90,Q$66,$C$97:$D112)</f>
        <v>16.060213677714643</v>
      </c>
      <c r="R112" s="35">
        <f ca="1">DSUM($B$66:$Y$90,R$66,$C$97:$D112)</f>
        <v>20.069925139605395</v>
      </c>
      <c r="S112" s="35">
        <f ca="1">DSUM($B$66:$Y$90,S$66,$C$97:$D112)</f>
        <v>20.784280935528187</v>
      </c>
      <c r="T112" s="35">
        <f ca="1">DSUM($B$66:$Y$90,T$66,$C$97:$D112)</f>
        <v>21.172617432257709</v>
      </c>
      <c r="U112" s="35">
        <f ca="1">DSUM($B$66:$Y$90,U$66,$C$97:$D112)</f>
        <v>21.37244788687735</v>
      </c>
      <c r="V112" s="35">
        <f ca="1">DSUM($B$66:$Y$90,V$66,$C$97:$D112)</f>
        <v>21.385871180758276</v>
      </c>
      <c r="W112" s="35">
        <f ca="1">DSUM($B$66:$Y$90,W$66,$C$97:$D112)</f>
        <v>21.210100234209431</v>
      </c>
      <c r="X112" s="35">
        <f ca="1">DSUM($B$66:$Y$90,X$66,$C$97:$D112)</f>
        <v>20.987895769558151</v>
      </c>
      <c r="Y112" s="35">
        <f ca="1">DSUM($B$66:$Y$90,Y$66,$C$97:$D112)</f>
        <v>265.93281096128021</v>
      </c>
      <c r="Z112" s="7"/>
      <c r="AA112" s="7"/>
      <c r="AB112" s="7"/>
      <c r="AC112" s="7"/>
    </row>
    <row r="113" spans="1:29" customFormat="1">
      <c r="A113" s="7"/>
      <c r="B113" s="7" t="s">
        <v>116</v>
      </c>
      <c r="C113" s="51" t="s">
        <v>117</v>
      </c>
      <c r="D113" s="51" t="s">
        <v>118</v>
      </c>
      <c r="E113" s="35">
        <f ca="1">DSUM($B$66:$Y$90,E$66,$C$97:$D113)</f>
        <v>0.11222936142245479</v>
      </c>
      <c r="F113" s="35">
        <f ca="1">DSUM($B$66:$Y$90,F$66,$C$97:$D113)</f>
        <v>0.28757298626642203</v>
      </c>
      <c r="G113" s="35">
        <f ca="1">DSUM($B$66:$Y$90,G$66,$C$97:$D113)</f>
        <v>0.63672888800351446</v>
      </c>
      <c r="H113" s="35">
        <f ca="1">DSUM($B$66:$Y$90,H$66,$C$97:$D113)</f>
        <v>1.2450036651887917</v>
      </c>
      <c r="I113" s="35">
        <f ca="1">DSUM($B$66:$Y$90,I$66,$C$97:$D113)</f>
        <v>2.1867880947556917</v>
      </c>
      <c r="J113" s="35">
        <f ca="1">DSUM($B$66:$Y$90,J$66,$C$97:$D113)</f>
        <v>3.4988145313158614</v>
      </c>
      <c r="K113" s="35">
        <f ca="1">DSUM($B$66:$Y$90,K$66,$C$97:$D113)</f>
        <v>5.1599279821427855</v>
      </c>
      <c r="L113" s="35">
        <f ca="1">DSUM($B$66:$Y$90,L$66,$C$97:$D113)</f>
        <v>7.086873404593371</v>
      </c>
      <c r="M113" s="35">
        <f ca="1">DSUM($B$66:$Y$90,M$66,$C$97:$D113)</f>
        <v>9.1489047593426935</v>
      </c>
      <c r="N113" s="35">
        <f ca="1">DSUM($B$66:$Y$90,N$66,$C$97:$D113)</f>
        <v>11.195941709679897</v>
      </c>
      <c r="O113" s="35">
        <f ca="1">DSUM($B$66:$Y$90,O$66,$C$97:$D113)</f>
        <v>13.089944401560251</v>
      </c>
      <c r="P113" s="35">
        <f ca="1">DSUM($B$66:$Y$90,P$66,$C$97:$D113)</f>
        <v>14.729287432471631</v>
      </c>
      <c r="Q113" s="35">
        <f ca="1">DSUM($B$66:$Y$90,Q$66,$C$97:$D113)</f>
        <v>16.060213677714643</v>
      </c>
      <c r="R113" s="35">
        <f ca="1">DSUM($B$66:$Y$90,R$66,$C$97:$D113)</f>
        <v>20.069925139605395</v>
      </c>
      <c r="S113" s="35">
        <f ca="1">DSUM($B$66:$Y$90,S$66,$C$97:$D113)</f>
        <v>20.784280935528187</v>
      </c>
      <c r="T113" s="35">
        <f ca="1">DSUM($B$66:$Y$90,T$66,$C$97:$D113)</f>
        <v>21.172617432257709</v>
      </c>
      <c r="U113" s="35">
        <f ca="1">DSUM($B$66:$Y$90,U$66,$C$97:$D113)</f>
        <v>21.37244788687735</v>
      </c>
      <c r="V113" s="35">
        <f ca="1">DSUM($B$66:$Y$90,V$66,$C$97:$D113)</f>
        <v>21.385871180758276</v>
      </c>
      <c r="W113" s="35">
        <f ca="1">DSUM($B$66:$Y$90,W$66,$C$97:$D113)</f>
        <v>21.210100234209431</v>
      </c>
      <c r="X113" s="35">
        <f ca="1">DSUM($B$66:$Y$90,X$66,$C$97:$D113)</f>
        <v>20.987895769558151</v>
      </c>
      <c r="Y113" s="35">
        <f ca="1">DSUM($B$66:$Y$90,Y$66,$C$97:$D113)</f>
        <v>265.93281096128021</v>
      </c>
      <c r="Z113" s="7"/>
      <c r="AA113" s="7"/>
      <c r="AB113" s="7"/>
      <c r="AC113" s="7"/>
    </row>
    <row r="114" spans="1:29" customFormat="1">
      <c r="A114" s="7"/>
      <c r="B114" s="7" t="s">
        <v>119</v>
      </c>
      <c r="C114" s="51" t="s">
        <v>120</v>
      </c>
      <c r="D114" s="51" t="s">
        <v>121</v>
      </c>
      <c r="E114" s="35">
        <f ca="1">DSUM($B$66:$Y$90,E$66,$C$97:$D114)</f>
        <v>0.11222936142245479</v>
      </c>
      <c r="F114" s="35">
        <f ca="1">DSUM($B$66:$Y$90,F$66,$C$97:$D114)</f>
        <v>0.28757298626642203</v>
      </c>
      <c r="G114" s="35">
        <f ca="1">DSUM($B$66:$Y$90,G$66,$C$97:$D114)</f>
        <v>0.63672888800351446</v>
      </c>
      <c r="H114" s="35">
        <f ca="1">DSUM($B$66:$Y$90,H$66,$C$97:$D114)</f>
        <v>1.2450036651887917</v>
      </c>
      <c r="I114" s="35">
        <f ca="1">DSUM($B$66:$Y$90,I$66,$C$97:$D114)</f>
        <v>2.1867880947556917</v>
      </c>
      <c r="J114" s="35">
        <f ca="1">DSUM($B$66:$Y$90,J$66,$C$97:$D114)</f>
        <v>3.4988145313158614</v>
      </c>
      <c r="K114" s="35">
        <f ca="1">DSUM($B$66:$Y$90,K$66,$C$97:$D114)</f>
        <v>5.1599279821427855</v>
      </c>
      <c r="L114" s="35">
        <f ca="1">DSUM($B$66:$Y$90,L$66,$C$97:$D114)</f>
        <v>7.086873404593371</v>
      </c>
      <c r="M114" s="35">
        <f ca="1">DSUM($B$66:$Y$90,M$66,$C$97:$D114)</f>
        <v>9.1489047593426935</v>
      </c>
      <c r="N114" s="35">
        <f ca="1">DSUM($B$66:$Y$90,N$66,$C$97:$D114)</f>
        <v>11.195941709679897</v>
      </c>
      <c r="O114" s="35">
        <f ca="1">DSUM($B$66:$Y$90,O$66,$C$97:$D114)</f>
        <v>13.089944401560251</v>
      </c>
      <c r="P114" s="35">
        <f ca="1">DSUM($B$66:$Y$90,P$66,$C$97:$D114)</f>
        <v>14.729287432471631</v>
      </c>
      <c r="Q114" s="35">
        <f ca="1">DSUM($B$66:$Y$90,Q$66,$C$97:$D114)</f>
        <v>16.060213677714643</v>
      </c>
      <c r="R114" s="35">
        <f ca="1">DSUM($B$66:$Y$90,R$66,$C$97:$D114)</f>
        <v>20.069925139605395</v>
      </c>
      <c r="S114" s="35">
        <f ca="1">DSUM($B$66:$Y$90,S$66,$C$97:$D114)</f>
        <v>20.784280935528187</v>
      </c>
      <c r="T114" s="35">
        <f ca="1">DSUM($B$66:$Y$90,T$66,$C$97:$D114)</f>
        <v>21.172617432257709</v>
      </c>
      <c r="U114" s="35">
        <f ca="1">DSUM($B$66:$Y$90,U$66,$C$97:$D114)</f>
        <v>21.37244788687735</v>
      </c>
      <c r="V114" s="35">
        <f ca="1">DSUM($B$66:$Y$90,V$66,$C$97:$D114)</f>
        <v>21.385871180758276</v>
      </c>
      <c r="W114" s="35">
        <f ca="1">DSUM($B$66:$Y$90,W$66,$C$97:$D114)</f>
        <v>21.210100234209431</v>
      </c>
      <c r="X114" s="35">
        <f ca="1">DSUM($B$66:$Y$90,X$66,$C$97:$D114)</f>
        <v>20.987895769558151</v>
      </c>
      <c r="Y114" s="35">
        <f ca="1">DSUM($B$66:$Y$90,Y$66,$C$97:$D114)</f>
        <v>265.93281096128021</v>
      </c>
      <c r="Z114" s="7"/>
      <c r="AA114" s="7"/>
      <c r="AB114" s="7"/>
      <c r="AC114" s="7"/>
    </row>
    <row r="115" spans="1:29" customFormat="1">
      <c r="A115" s="7"/>
      <c r="B115" s="7" t="s">
        <v>122</v>
      </c>
      <c r="C115" s="51" t="s">
        <v>123</v>
      </c>
      <c r="D115" s="51" t="s">
        <v>124</v>
      </c>
      <c r="E115" s="35">
        <f ca="1">DSUM($B$66:$Y$90,E$66,$C$97:$D115)</f>
        <v>0.11222936142245479</v>
      </c>
      <c r="F115" s="35">
        <f ca="1">DSUM($B$66:$Y$90,F$66,$C$97:$D115)</f>
        <v>0.28757298626642203</v>
      </c>
      <c r="G115" s="35">
        <f ca="1">DSUM($B$66:$Y$90,G$66,$C$97:$D115)</f>
        <v>0.63672888800351446</v>
      </c>
      <c r="H115" s="35">
        <f ca="1">DSUM($B$66:$Y$90,H$66,$C$97:$D115)</f>
        <v>1.2450036651887917</v>
      </c>
      <c r="I115" s="35">
        <f ca="1">DSUM($B$66:$Y$90,I$66,$C$97:$D115)</f>
        <v>2.1867880947556917</v>
      </c>
      <c r="J115" s="35">
        <f ca="1">DSUM($B$66:$Y$90,J$66,$C$97:$D115)</f>
        <v>3.4988145313158614</v>
      </c>
      <c r="K115" s="35">
        <f ca="1">DSUM($B$66:$Y$90,K$66,$C$97:$D115)</f>
        <v>5.1599279821427855</v>
      </c>
      <c r="L115" s="35">
        <f ca="1">DSUM($B$66:$Y$90,L$66,$C$97:$D115)</f>
        <v>7.086873404593371</v>
      </c>
      <c r="M115" s="35">
        <f ca="1">DSUM($B$66:$Y$90,M$66,$C$97:$D115)</f>
        <v>9.1489047593426935</v>
      </c>
      <c r="N115" s="35">
        <f ca="1">DSUM($B$66:$Y$90,N$66,$C$97:$D115)</f>
        <v>11.195941709679897</v>
      </c>
      <c r="O115" s="35">
        <f ca="1">DSUM($B$66:$Y$90,O$66,$C$97:$D115)</f>
        <v>13.089944401560251</v>
      </c>
      <c r="P115" s="35">
        <f ca="1">DSUM($B$66:$Y$90,P$66,$C$97:$D115)</f>
        <v>14.729287432471631</v>
      </c>
      <c r="Q115" s="35">
        <f ca="1">DSUM($B$66:$Y$90,Q$66,$C$97:$D115)</f>
        <v>16.060213677714643</v>
      </c>
      <c r="R115" s="35">
        <f ca="1">DSUM($B$66:$Y$90,R$66,$C$97:$D115)</f>
        <v>20.069925139605395</v>
      </c>
      <c r="S115" s="35">
        <f ca="1">DSUM($B$66:$Y$90,S$66,$C$97:$D115)</f>
        <v>20.784280935528187</v>
      </c>
      <c r="T115" s="35">
        <f ca="1">DSUM($B$66:$Y$90,T$66,$C$97:$D115)</f>
        <v>21.172617432257709</v>
      </c>
      <c r="U115" s="35">
        <f ca="1">DSUM($B$66:$Y$90,U$66,$C$97:$D115)</f>
        <v>21.37244788687735</v>
      </c>
      <c r="V115" s="35">
        <f ca="1">DSUM($B$66:$Y$90,V$66,$C$97:$D115)</f>
        <v>21.385871180758276</v>
      </c>
      <c r="W115" s="35">
        <f ca="1">DSUM($B$66:$Y$90,W$66,$C$97:$D115)</f>
        <v>21.210100234209431</v>
      </c>
      <c r="X115" s="35">
        <f ca="1">DSUM($B$66:$Y$90,X$66,$C$97:$D115)</f>
        <v>20.987895769558151</v>
      </c>
      <c r="Y115" s="35">
        <f ca="1">DSUM($B$66:$Y$90,Y$66,$C$97:$D115)</f>
        <v>265.93281096128021</v>
      </c>
      <c r="Z115" s="7"/>
      <c r="AA115" s="7"/>
      <c r="AB115" s="7"/>
      <c r="AC115" s="7"/>
    </row>
    <row r="116" spans="1:29" customFormat="1">
      <c r="A116" s="7"/>
      <c r="B116" s="7" t="s">
        <v>125</v>
      </c>
      <c r="C116" s="51" t="s">
        <v>126</v>
      </c>
      <c r="D116" s="51" t="s">
        <v>127</v>
      </c>
      <c r="E116" s="35">
        <f ca="1">DSUM($B$66:$Y$90,E$66,$C$97:$D116)</f>
        <v>0.11222936142245479</v>
      </c>
      <c r="F116" s="35">
        <f ca="1">DSUM($B$66:$Y$90,F$66,$C$97:$D116)</f>
        <v>0.28757298626642203</v>
      </c>
      <c r="G116" s="35">
        <f ca="1">DSUM($B$66:$Y$90,G$66,$C$97:$D116)</f>
        <v>0.63672888800351446</v>
      </c>
      <c r="H116" s="35">
        <f ca="1">DSUM($B$66:$Y$90,H$66,$C$97:$D116)</f>
        <v>1.2450036651887917</v>
      </c>
      <c r="I116" s="35">
        <f ca="1">DSUM($B$66:$Y$90,I$66,$C$97:$D116)</f>
        <v>2.1867880947556917</v>
      </c>
      <c r="J116" s="35">
        <f ca="1">DSUM($B$66:$Y$90,J$66,$C$97:$D116)</f>
        <v>3.4988145313158614</v>
      </c>
      <c r="K116" s="35">
        <f ca="1">DSUM($B$66:$Y$90,K$66,$C$97:$D116)</f>
        <v>5.1599279821427855</v>
      </c>
      <c r="L116" s="35">
        <f ca="1">DSUM($B$66:$Y$90,L$66,$C$97:$D116)</f>
        <v>7.086873404593371</v>
      </c>
      <c r="M116" s="35">
        <f ca="1">DSUM($B$66:$Y$90,M$66,$C$97:$D116)</f>
        <v>9.1489047593426935</v>
      </c>
      <c r="N116" s="35">
        <f ca="1">DSUM($B$66:$Y$90,N$66,$C$97:$D116)</f>
        <v>11.195941709679897</v>
      </c>
      <c r="O116" s="35">
        <f ca="1">DSUM($B$66:$Y$90,O$66,$C$97:$D116)</f>
        <v>13.089944401560251</v>
      </c>
      <c r="P116" s="35">
        <f ca="1">DSUM($B$66:$Y$90,P$66,$C$97:$D116)</f>
        <v>14.729287432471631</v>
      </c>
      <c r="Q116" s="35">
        <f ca="1">DSUM($B$66:$Y$90,Q$66,$C$97:$D116)</f>
        <v>16.060213677714643</v>
      </c>
      <c r="R116" s="35">
        <f ca="1">DSUM($B$66:$Y$90,R$66,$C$97:$D116)</f>
        <v>20.069925139605395</v>
      </c>
      <c r="S116" s="35">
        <f ca="1">DSUM($B$66:$Y$90,S$66,$C$97:$D116)</f>
        <v>20.784280935528187</v>
      </c>
      <c r="T116" s="35">
        <f ca="1">DSUM($B$66:$Y$90,T$66,$C$97:$D116)</f>
        <v>21.172617432257709</v>
      </c>
      <c r="U116" s="35">
        <f ca="1">DSUM($B$66:$Y$90,U$66,$C$97:$D116)</f>
        <v>21.37244788687735</v>
      </c>
      <c r="V116" s="35">
        <f ca="1">DSUM($B$66:$Y$90,V$66,$C$97:$D116)</f>
        <v>21.385871180758276</v>
      </c>
      <c r="W116" s="35">
        <f ca="1">DSUM($B$66:$Y$90,W$66,$C$97:$D116)</f>
        <v>21.210100234209431</v>
      </c>
      <c r="X116" s="35">
        <f ca="1">DSUM($B$66:$Y$90,X$66,$C$97:$D116)</f>
        <v>20.987895769558151</v>
      </c>
      <c r="Y116" s="35">
        <f ca="1">DSUM($B$66:$Y$90,Y$66,$C$97:$D116)</f>
        <v>265.93281096128021</v>
      </c>
      <c r="Z116" s="7"/>
      <c r="AA116" s="7"/>
      <c r="AB116" s="7"/>
      <c r="AC116" s="7"/>
    </row>
    <row r="117" spans="1:29" customFormat="1">
      <c r="A117" s="7"/>
      <c r="B117" s="7" t="s">
        <v>128</v>
      </c>
      <c r="C117" s="51" t="s">
        <v>129</v>
      </c>
      <c r="D117" s="51" t="s">
        <v>130</v>
      </c>
      <c r="E117" s="35">
        <f ca="1">DSUM($B$66:$Y$90,E$66,$C$97:$D117)</f>
        <v>0.11222936142245479</v>
      </c>
      <c r="F117" s="35">
        <f ca="1">DSUM($B$66:$Y$90,F$66,$C$97:$D117)</f>
        <v>0.28757298626642203</v>
      </c>
      <c r="G117" s="35">
        <f ca="1">DSUM($B$66:$Y$90,G$66,$C$97:$D117)</f>
        <v>0.63672888800351446</v>
      </c>
      <c r="H117" s="35">
        <f ca="1">DSUM($B$66:$Y$90,H$66,$C$97:$D117)</f>
        <v>1.2450036651887917</v>
      </c>
      <c r="I117" s="35">
        <f ca="1">DSUM($B$66:$Y$90,I$66,$C$97:$D117)</f>
        <v>2.1867880947556917</v>
      </c>
      <c r="J117" s="35">
        <f ca="1">DSUM($B$66:$Y$90,J$66,$C$97:$D117)</f>
        <v>3.4988145313158614</v>
      </c>
      <c r="K117" s="35">
        <f ca="1">DSUM($B$66:$Y$90,K$66,$C$97:$D117)</f>
        <v>5.1599279821427855</v>
      </c>
      <c r="L117" s="35">
        <f ca="1">DSUM($B$66:$Y$90,L$66,$C$97:$D117)</f>
        <v>7.086873404593371</v>
      </c>
      <c r="M117" s="35">
        <f ca="1">DSUM($B$66:$Y$90,M$66,$C$97:$D117)</f>
        <v>9.1489047593426935</v>
      </c>
      <c r="N117" s="35">
        <f ca="1">DSUM($B$66:$Y$90,N$66,$C$97:$D117)</f>
        <v>11.195941709679897</v>
      </c>
      <c r="O117" s="35">
        <f ca="1">DSUM($B$66:$Y$90,O$66,$C$97:$D117)</f>
        <v>13.089944401560251</v>
      </c>
      <c r="P117" s="35">
        <f ca="1">DSUM($B$66:$Y$90,P$66,$C$97:$D117)</f>
        <v>14.729287432471631</v>
      </c>
      <c r="Q117" s="35">
        <f ca="1">DSUM($B$66:$Y$90,Q$66,$C$97:$D117)</f>
        <v>16.060213677714643</v>
      </c>
      <c r="R117" s="35">
        <f ca="1">DSUM($B$66:$Y$90,R$66,$C$97:$D117)</f>
        <v>20.069925139605395</v>
      </c>
      <c r="S117" s="35">
        <f ca="1">DSUM($B$66:$Y$90,S$66,$C$97:$D117)</f>
        <v>20.784280935528187</v>
      </c>
      <c r="T117" s="35">
        <f ca="1">DSUM($B$66:$Y$90,T$66,$C$97:$D117)</f>
        <v>21.172617432257709</v>
      </c>
      <c r="U117" s="35">
        <f ca="1">DSUM($B$66:$Y$90,U$66,$C$97:$D117)</f>
        <v>21.37244788687735</v>
      </c>
      <c r="V117" s="35">
        <f ca="1">DSUM($B$66:$Y$90,V$66,$C$97:$D117)</f>
        <v>21.385871180758276</v>
      </c>
      <c r="W117" s="35">
        <f ca="1">DSUM($B$66:$Y$90,W$66,$C$97:$D117)</f>
        <v>21.210100234209431</v>
      </c>
      <c r="X117" s="35">
        <f ca="1">DSUM($B$66:$Y$90,X$66,$C$97:$D117)</f>
        <v>20.987895769558151</v>
      </c>
      <c r="Y117" s="35">
        <f ca="1">DSUM($B$66:$Y$90,Y$66,$C$97:$D117)</f>
        <v>265.93281096128021</v>
      </c>
      <c r="Z117" s="7"/>
      <c r="AA117" s="7"/>
      <c r="AB117" s="7"/>
      <c r="AC117" s="7"/>
    </row>
    <row r="118" spans="1:29" customFormat="1">
      <c r="A118" s="7"/>
      <c r="B118" s="7" t="s">
        <v>131</v>
      </c>
      <c r="C118" s="51" t="s">
        <v>132</v>
      </c>
      <c r="D118" s="51" t="s">
        <v>133</v>
      </c>
      <c r="E118" s="35">
        <f ca="1">DSUM($B$66:$Y$90,E$66,$C$97:$D118)</f>
        <v>0.11222936142245479</v>
      </c>
      <c r="F118" s="35">
        <f ca="1">DSUM($B$66:$Y$90,F$66,$C$97:$D118)</f>
        <v>0.28757298626642203</v>
      </c>
      <c r="G118" s="35">
        <f ca="1">DSUM($B$66:$Y$90,G$66,$C$97:$D118)</f>
        <v>0.63672888800351446</v>
      </c>
      <c r="H118" s="35">
        <f ca="1">DSUM($B$66:$Y$90,H$66,$C$97:$D118)</f>
        <v>1.2450036651887917</v>
      </c>
      <c r="I118" s="35">
        <f ca="1">DSUM($B$66:$Y$90,I$66,$C$97:$D118)</f>
        <v>2.1867880947556917</v>
      </c>
      <c r="J118" s="35">
        <f ca="1">DSUM($B$66:$Y$90,J$66,$C$97:$D118)</f>
        <v>3.4988145313158614</v>
      </c>
      <c r="K118" s="35">
        <f ca="1">DSUM($B$66:$Y$90,K$66,$C$97:$D118)</f>
        <v>5.1599279821427855</v>
      </c>
      <c r="L118" s="35">
        <f ca="1">DSUM($B$66:$Y$90,L$66,$C$97:$D118)</f>
        <v>7.086873404593371</v>
      </c>
      <c r="M118" s="35">
        <f ca="1">DSUM($B$66:$Y$90,M$66,$C$97:$D118)</f>
        <v>9.1489047593426935</v>
      </c>
      <c r="N118" s="35">
        <f ca="1">DSUM($B$66:$Y$90,N$66,$C$97:$D118)</f>
        <v>11.195941709679897</v>
      </c>
      <c r="O118" s="35">
        <f ca="1">DSUM($B$66:$Y$90,O$66,$C$97:$D118)</f>
        <v>13.089944401560251</v>
      </c>
      <c r="P118" s="35">
        <f ca="1">DSUM($B$66:$Y$90,P$66,$C$97:$D118)</f>
        <v>14.729287432471631</v>
      </c>
      <c r="Q118" s="35">
        <f ca="1">DSUM($B$66:$Y$90,Q$66,$C$97:$D118)</f>
        <v>16.060213677714643</v>
      </c>
      <c r="R118" s="35">
        <f ca="1">DSUM($B$66:$Y$90,R$66,$C$97:$D118)</f>
        <v>20.069925139605395</v>
      </c>
      <c r="S118" s="35">
        <f ca="1">DSUM($B$66:$Y$90,S$66,$C$97:$D118)</f>
        <v>20.784280935528187</v>
      </c>
      <c r="T118" s="35">
        <f ca="1">DSUM($B$66:$Y$90,T$66,$C$97:$D118)</f>
        <v>21.172617432257709</v>
      </c>
      <c r="U118" s="35">
        <f ca="1">DSUM($B$66:$Y$90,U$66,$C$97:$D118)</f>
        <v>21.37244788687735</v>
      </c>
      <c r="V118" s="35">
        <f ca="1">DSUM($B$66:$Y$90,V$66,$C$97:$D118)</f>
        <v>21.385871180758276</v>
      </c>
      <c r="W118" s="35">
        <f ca="1">DSUM($B$66:$Y$90,W$66,$C$97:$D118)</f>
        <v>21.210100234209431</v>
      </c>
      <c r="X118" s="35">
        <f ca="1">DSUM($B$66:$Y$90,X$66,$C$97:$D118)</f>
        <v>20.987895769558151</v>
      </c>
      <c r="Y118" s="35">
        <f ca="1">DSUM($B$66:$Y$90,Y$66,$C$97:$D118)</f>
        <v>265.93281096128021</v>
      </c>
      <c r="Z118" s="7"/>
      <c r="AA118" s="7"/>
      <c r="AB118" s="7"/>
      <c r="AC118" s="7"/>
    </row>
    <row r="119" spans="1:29" customFormat="1">
      <c r="A119" s="7"/>
      <c r="B119" s="7" t="s">
        <v>517</v>
      </c>
      <c r="C119" s="51" t="s">
        <v>135</v>
      </c>
      <c r="D119" s="51" t="s">
        <v>507</v>
      </c>
      <c r="E119" s="35">
        <f ca="1">DSUM($B$66:$Y$90,E$66,$C$97:$D119)</f>
        <v>0.11222936142245479</v>
      </c>
      <c r="F119" s="35">
        <f ca="1">DSUM($B$66:$Y$90,F$66,$C$97:$D119)</f>
        <v>0.28757298626642203</v>
      </c>
      <c r="G119" s="35">
        <f ca="1">DSUM($B$66:$Y$90,G$66,$C$97:$D119)</f>
        <v>0.63672888800351446</v>
      </c>
      <c r="H119" s="35">
        <f ca="1">DSUM($B$66:$Y$90,H$66,$C$97:$D119)</f>
        <v>1.2450036651887917</v>
      </c>
      <c r="I119" s="35">
        <f ca="1">DSUM($B$66:$Y$90,I$66,$C$97:$D119)</f>
        <v>2.1867880947556917</v>
      </c>
      <c r="J119" s="35">
        <f ca="1">DSUM($B$66:$Y$90,J$66,$C$97:$D119)</f>
        <v>3.4988145313158614</v>
      </c>
      <c r="K119" s="35">
        <f ca="1">DSUM($B$66:$Y$90,K$66,$C$97:$D119)</f>
        <v>5.1599279821427855</v>
      </c>
      <c r="L119" s="35">
        <f ca="1">DSUM($B$66:$Y$90,L$66,$C$97:$D119)</f>
        <v>7.086873404593371</v>
      </c>
      <c r="M119" s="35">
        <f ca="1">DSUM($B$66:$Y$90,M$66,$C$97:$D119)</f>
        <v>9.1489047593426935</v>
      </c>
      <c r="N119" s="35">
        <f ca="1">DSUM($B$66:$Y$90,N$66,$C$97:$D119)</f>
        <v>11.195941709679897</v>
      </c>
      <c r="O119" s="35">
        <f ca="1">DSUM($B$66:$Y$90,O$66,$C$97:$D119)</f>
        <v>13.089944401560251</v>
      </c>
      <c r="P119" s="35">
        <f ca="1">DSUM($B$66:$Y$90,P$66,$C$97:$D119)</f>
        <v>14.729287432471631</v>
      </c>
      <c r="Q119" s="35">
        <f ca="1">DSUM($B$66:$Y$90,Q$66,$C$97:$D119)</f>
        <v>16.060213677714643</v>
      </c>
      <c r="R119" s="35">
        <f ca="1">DSUM($B$66:$Y$90,R$66,$C$97:$D119)</f>
        <v>20.069925139605395</v>
      </c>
      <c r="S119" s="35">
        <f ca="1">DSUM($B$66:$Y$90,S$66,$C$97:$D119)</f>
        <v>20.784280935528187</v>
      </c>
      <c r="T119" s="35">
        <f ca="1">DSUM($B$66:$Y$90,T$66,$C$97:$D119)</f>
        <v>21.172617432257709</v>
      </c>
      <c r="U119" s="35">
        <f ca="1">DSUM($B$66:$Y$90,U$66,$C$97:$D119)</f>
        <v>21.37244788687735</v>
      </c>
      <c r="V119" s="35">
        <f ca="1">DSUM($B$66:$Y$90,V$66,$C$97:$D119)</f>
        <v>21.385871180758276</v>
      </c>
      <c r="W119" s="35">
        <f ca="1">DSUM($B$66:$Y$90,W$66,$C$97:$D119)</f>
        <v>21.210100234209431</v>
      </c>
      <c r="X119" s="35">
        <f ca="1">DSUM($B$66:$Y$90,X$66,$C$97:$D119)</f>
        <v>20.987895769558151</v>
      </c>
      <c r="Y119" s="35">
        <f ca="1">DSUM($B$66:$Y$90,Y$66,$C$97:$D119)</f>
        <v>265.93281096128021</v>
      </c>
      <c r="Z119" s="7"/>
      <c r="AA119" s="7"/>
      <c r="AB119" s="7"/>
      <c r="AC119" s="7"/>
    </row>
    <row r="120" spans="1:29" customFormat="1">
      <c r="A120" s="7"/>
      <c r="B120" s="7" t="s">
        <v>518</v>
      </c>
      <c r="C120" s="51" t="s">
        <v>497</v>
      </c>
      <c r="D120" s="51" t="s">
        <v>508</v>
      </c>
      <c r="E120" s="35">
        <f ca="1">DSUM($B$66:$Y$90,E$66,$C$97:$D120)</f>
        <v>0.11222936142245479</v>
      </c>
      <c r="F120" s="35">
        <f ca="1">DSUM($B$66:$Y$90,F$66,$C$97:$D120)</f>
        <v>0.28757298626642203</v>
      </c>
      <c r="G120" s="35">
        <f ca="1">DSUM($B$66:$Y$90,G$66,$C$97:$D120)</f>
        <v>0.63672888800351446</v>
      </c>
      <c r="H120" s="35">
        <f ca="1">DSUM($B$66:$Y$90,H$66,$C$97:$D120)</f>
        <v>1.2450036651887917</v>
      </c>
      <c r="I120" s="35">
        <f ca="1">DSUM($B$66:$Y$90,I$66,$C$97:$D120)</f>
        <v>2.1867880947556917</v>
      </c>
      <c r="J120" s="35">
        <f ca="1">DSUM($B$66:$Y$90,J$66,$C$97:$D120)</f>
        <v>3.4988145313158614</v>
      </c>
      <c r="K120" s="35">
        <f ca="1">DSUM($B$66:$Y$90,K$66,$C$97:$D120)</f>
        <v>5.1599279821427855</v>
      </c>
      <c r="L120" s="35">
        <f ca="1">DSUM($B$66:$Y$90,L$66,$C$97:$D120)</f>
        <v>7.086873404593371</v>
      </c>
      <c r="M120" s="35">
        <f ca="1">DSUM($B$66:$Y$90,M$66,$C$97:$D120)</f>
        <v>9.1489047593426935</v>
      </c>
      <c r="N120" s="35">
        <f ca="1">DSUM($B$66:$Y$90,N$66,$C$97:$D120)</f>
        <v>11.195941709679897</v>
      </c>
      <c r="O120" s="35">
        <f ca="1">DSUM($B$66:$Y$90,O$66,$C$97:$D120)</f>
        <v>13.089944401560251</v>
      </c>
      <c r="P120" s="35">
        <f ca="1">DSUM($B$66:$Y$90,P$66,$C$97:$D120)</f>
        <v>14.729287432471631</v>
      </c>
      <c r="Q120" s="35">
        <f ca="1">DSUM($B$66:$Y$90,Q$66,$C$97:$D120)</f>
        <v>16.060213677714643</v>
      </c>
      <c r="R120" s="35">
        <f ca="1">DSUM($B$66:$Y$90,R$66,$C$97:$D120)</f>
        <v>20.069925139605395</v>
      </c>
      <c r="S120" s="35">
        <f ca="1">DSUM($B$66:$Y$90,S$66,$C$97:$D120)</f>
        <v>20.784280935528187</v>
      </c>
      <c r="T120" s="35">
        <f ca="1">DSUM($B$66:$Y$90,T$66,$C$97:$D120)</f>
        <v>21.172617432257709</v>
      </c>
      <c r="U120" s="35">
        <f ca="1">DSUM($B$66:$Y$90,U$66,$C$97:$D120)</f>
        <v>21.37244788687735</v>
      </c>
      <c r="V120" s="35">
        <f ca="1">DSUM($B$66:$Y$90,V$66,$C$97:$D120)</f>
        <v>21.385871180758276</v>
      </c>
      <c r="W120" s="35">
        <f ca="1">DSUM($B$66:$Y$90,W$66,$C$97:$D120)</f>
        <v>21.210100234209431</v>
      </c>
      <c r="X120" s="35">
        <f ca="1">DSUM($B$66:$Y$90,X$66,$C$97:$D120)</f>
        <v>20.987895769558151</v>
      </c>
      <c r="Y120" s="35">
        <f ca="1">DSUM($B$66:$Y$90,Y$66,$C$97:$D120)</f>
        <v>265.93281096128021</v>
      </c>
      <c r="Z120" s="7"/>
      <c r="AA120" s="7"/>
      <c r="AB120" s="7"/>
      <c r="AC120" s="7"/>
    </row>
    <row r="121" spans="1:29" customFormat="1">
      <c r="A121" s="7"/>
      <c r="B121" s="7" t="s">
        <v>519</v>
      </c>
      <c r="C121" s="51" t="s">
        <v>498</v>
      </c>
      <c r="D121" s="51" t="s">
        <v>509</v>
      </c>
      <c r="E121" s="35">
        <f ca="1">DSUM($B$66:$Y$90,E$66,$C$97:$D121)</f>
        <v>0.11222936142245479</v>
      </c>
      <c r="F121" s="35">
        <f ca="1">DSUM($B$66:$Y$90,F$66,$C$97:$D121)</f>
        <v>0.28757298626642203</v>
      </c>
      <c r="G121" s="35">
        <f ca="1">DSUM($B$66:$Y$90,G$66,$C$97:$D121)</f>
        <v>0.63672888800351446</v>
      </c>
      <c r="H121" s="35">
        <f ca="1">DSUM($B$66:$Y$90,H$66,$C$97:$D121)</f>
        <v>1.2450036651887917</v>
      </c>
      <c r="I121" s="35">
        <f ca="1">DSUM($B$66:$Y$90,I$66,$C$97:$D121)</f>
        <v>2.1867880947556917</v>
      </c>
      <c r="J121" s="35">
        <f ca="1">DSUM($B$66:$Y$90,J$66,$C$97:$D121)</f>
        <v>3.4988145313158614</v>
      </c>
      <c r="K121" s="35">
        <f ca="1">DSUM($B$66:$Y$90,K$66,$C$97:$D121)</f>
        <v>5.1599279821427855</v>
      </c>
      <c r="L121" s="35">
        <f ca="1">DSUM($B$66:$Y$90,L$66,$C$97:$D121)</f>
        <v>7.086873404593371</v>
      </c>
      <c r="M121" s="35">
        <f ca="1">DSUM($B$66:$Y$90,M$66,$C$97:$D121)</f>
        <v>9.1489047593426935</v>
      </c>
      <c r="N121" s="35">
        <f ca="1">DSUM($B$66:$Y$90,N$66,$C$97:$D121)</f>
        <v>11.195941709679897</v>
      </c>
      <c r="O121" s="35">
        <f ca="1">DSUM($B$66:$Y$90,O$66,$C$97:$D121)</f>
        <v>13.089944401560251</v>
      </c>
      <c r="P121" s="35">
        <f ca="1">DSUM($B$66:$Y$90,P$66,$C$97:$D121)</f>
        <v>14.729287432471631</v>
      </c>
      <c r="Q121" s="35">
        <f ca="1">DSUM($B$66:$Y$90,Q$66,$C$97:$D121)</f>
        <v>16.060213677714643</v>
      </c>
      <c r="R121" s="35">
        <f ca="1">DSUM($B$66:$Y$90,R$66,$C$97:$D121)</f>
        <v>20.069925139605395</v>
      </c>
      <c r="S121" s="35">
        <f ca="1">DSUM($B$66:$Y$90,S$66,$C$97:$D121)</f>
        <v>20.784280935528187</v>
      </c>
      <c r="T121" s="35">
        <f ca="1">DSUM($B$66:$Y$90,T$66,$C$97:$D121)</f>
        <v>21.172617432257709</v>
      </c>
      <c r="U121" s="35">
        <f ca="1">DSUM($B$66:$Y$90,U$66,$C$97:$D121)</f>
        <v>21.37244788687735</v>
      </c>
      <c r="V121" s="35">
        <f ca="1">DSUM($B$66:$Y$90,V$66,$C$97:$D121)</f>
        <v>21.385871180758276</v>
      </c>
      <c r="W121" s="35">
        <f ca="1">DSUM($B$66:$Y$90,W$66,$C$97:$D121)</f>
        <v>21.210100234209431</v>
      </c>
      <c r="X121" s="35">
        <f ca="1">DSUM($B$66:$Y$90,X$66,$C$97:$D121)</f>
        <v>20.987895769558151</v>
      </c>
      <c r="Y121" s="35">
        <f ca="1">DSUM($B$66:$Y$90,Y$66,$C$97:$D121)</f>
        <v>265.93281096128021</v>
      </c>
      <c r="Z121" s="7"/>
      <c r="AA121" s="7"/>
      <c r="AB121" s="7"/>
      <c r="AC121" s="7"/>
    </row>
    <row r="122" spans="1:29" customFormat="1">
      <c r="A122" s="7"/>
      <c r="B122" s="7" t="s">
        <v>520</v>
      </c>
      <c r="C122" s="51" t="s">
        <v>499</v>
      </c>
      <c r="D122" s="51" t="s">
        <v>510</v>
      </c>
      <c r="E122" s="35">
        <f ca="1">DSUM($B$66:$Y$90,E$66,$C$97:$D122)</f>
        <v>0.11222936142245479</v>
      </c>
      <c r="F122" s="35">
        <f ca="1">DSUM($B$66:$Y$90,F$66,$C$97:$D122)</f>
        <v>0.28757298626642203</v>
      </c>
      <c r="G122" s="35">
        <f ca="1">DSUM($B$66:$Y$90,G$66,$C$97:$D122)</f>
        <v>0.63672888800351446</v>
      </c>
      <c r="H122" s="35">
        <f ca="1">DSUM($B$66:$Y$90,H$66,$C$97:$D122)</f>
        <v>1.2450036651887917</v>
      </c>
      <c r="I122" s="35">
        <f ca="1">DSUM($B$66:$Y$90,I$66,$C$97:$D122)</f>
        <v>2.1867880947556917</v>
      </c>
      <c r="J122" s="35">
        <f ca="1">DSUM($B$66:$Y$90,J$66,$C$97:$D122)</f>
        <v>3.4988145313158614</v>
      </c>
      <c r="K122" s="35">
        <f ca="1">DSUM($B$66:$Y$90,K$66,$C$97:$D122)</f>
        <v>5.1599279821427855</v>
      </c>
      <c r="L122" s="35">
        <f ca="1">DSUM($B$66:$Y$90,L$66,$C$97:$D122)</f>
        <v>7.086873404593371</v>
      </c>
      <c r="M122" s="35">
        <f ca="1">DSUM($B$66:$Y$90,M$66,$C$97:$D122)</f>
        <v>9.1489047593426935</v>
      </c>
      <c r="N122" s="35">
        <f ca="1">DSUM($B$66:$Y$90,N$66,$C$97:$D122)</f>
        <v>11.195941709679897</v>
      </c>
      <c r="O122" s="35">
        <f ca="1">DSUM($B$66:$Y$90,O$66,$C$97:$D122)</f>
        <v>13.089944401560251</v>
      </c>
      <c r="P122" s="35">
        <f ca="1">DSUM($B$66:$Y$90,P$66,$C$97:$D122)</f>
        <v>14.729287432471631</v>
      </c>
      <c r="Q122" s="35">
        <f ca="1">DSUM($B$66:$Y$90,Q$66,$C$97:$D122)</f>
        <v>16.060213677714643</v>
      </c>
      <c r="R122" s="35">
        <f ca="1">DSUM($B$66:$Y$90,R$66,$C$97:$D122)</f>
        <v>20.069925139605395</v>
      </c>
      <c r="S122" s="35">
        <f ca="1">DSUM($B$66:$Y$90,S$66,$C$97:$D122)</f>
        <v>20.784280935528187</v>
      </c>
      <c r="T122" s="35">
        <f ca="1">DSUM($B$66:$Y$90,T$66,$C$97:$D122)</f>
        <v>21.172617432257709</v>
      </c>
      <c r="U122" s="35">
        <f ca="1">DSUM($B$66:$Y$90,U$66,$C$97:$D122)</f>
        <v>21.37244788687735</v>
      </c>
      <c r="V122" s="35">
        <f ca="1">DSUM($B$66:$Y$90,V$66,$C$97:$D122)</f>
        <v>21.385871180758276</v>
      </c>
      <c r="W122" s="35">
        <f ca="1">DSUM($B$66:$Y$90,W$66,$C$97:$D122)</f>
        <v>21.210100234209431</v>
      </c>
      <c r="X122" s="35">
        <f ca="1">DSUM($B$66:$Y$90,X$66,$C$97:$D122)</f>
        <v>20.987895769558151</v>
      </c>
      <c r="Y122" s="35">
        <f ca="1">DSUM($B$66:$Y$90,Y$66,$C$97:$D122)</f>
        <v>265.93281096128021</v>
      </c>
      <c r="Z122" s="7"/>
      <c r="AA122" s="7"/>
      <c r="AB122" s="7"/>
      <c r="AC122" s="7"/>
    </row>
    <row r="123" spans="1:29" customFormat="1">
      <c r="A123" s="7"/>
      <c r="B123" s="7" t="s">
        <v>521</v>
      </c>
      <c r="C123" s="51" t="s">
        <v>500</v>
      </c>
      <c r="D123" s="51" t="s">
        <v>511</v>
      </c>
      <c r="E123" s="35">
        <f ca="1">DSUM($B$66:$Y$90,E$66,$C$97:$D123)</f>
        <v>0.11222936142245479</v>
      </c>
      <c r="F123" s="35">
        <f ca="1">DSUM($B$66:$Y$90,F$66,$C$97:$D123)</f>
        <v>0.28757298626642203</v>
      </c>
      <c r="G123" s="35">
        <f ca="1">DSUM($B$66:$Y$90,G$66,$C$97:$D123)</f>
        <v>0.63672888800351446</v>
      </c>
      <c r="H123" s="35">
        <f ca="1">DSUM($B$66:$Y$90,H$66,$C$97:$D123)</f>
        <v>1.2450036651887917</v>
      </c>
      <c r="I123" s="35">
        <f ca="1">DSUM($B$66:$Y$90,I$66,$C$97:$D123)</f>
        <v>2.1867880947556917</v>
      </c>
      <c r="J123" s="35">
        <f ca="1">DSUM($B$66:$Y$90,J$66,$C$97:$D123)</f>
        <v>3.4988145313158614</v>
      </c>
      <c r="K123" s="35">
        <f ca="1">DSUM($B$66:$Y$90,K$66,$C$97:$D123)</f>
        <v>5.1599279821427855</v>
      </c>
      <c r="L123" s="35">
        <f ca="1">DSUM($B$66:$Y$90,L$66,$C$97:$D123)</f>
        <v>7.086873404593371</v>
      </c>
      <c r="M123" s="35">
        <f ca="1">DSUM($B$66:$Y$90,M$66,$C$97:$D123)</f>
        <v>9.1489047593426935</v>
      </c>
      <c r="N123" s="35">
        <f ca="1">DSUM($B$66:$Y$90,N$66,$C$97:$D123)</f>
        <v>11.195941709679897</v>
      </c>
      <c r="O123" s="35">
        <f ca="1">DSUM($B$66:$Y$90,O$66,$C$97:$D123)</f>
        <v>13.089944401560251</v>
      </c>
      <c r="P123" s="35">
        <f ca="1">DSUM($B$66:$Y$90,P$66,$C$97:$D123)</f>
        <v>14.729287432471631</v>
      </c>
      <c r="Q123" s="35">
        <f ca="1">DSUM($B$66:$Y$90,Q$66,$C$97:$D123)</f>
        <v>16.060213677714643</v>
      </c>
      <c r="R123" s="35">
        <f ca="1">DSUM($B$66:$Y$90,R$66,$C$97:$D123)</f>
        <v>20.069925139605395</v>
      </c>
      <c r="S123" s="35">
        <f ca="1">DSUM($B$66:$Y$90,S$66,$C$97:$D123)</f>
        <v>20.784280935528187</v>
      </c>
      <c r="T123" s="35">
        <f ca="1">DSUM($B$66:$Y$90,T$66,$C$97:$D123)</f>
        <v>21.172617432257709</v>
      </c>
      <c r="U123" s="35">
        <f ca="1">DSUM($B$66:$Y$90,U$66,$C$97:$D123)</f>
        <v>21.37244788687735</v>
      </c>
      <c r="V123" s="35">
        <f ca="1">DSUM($B$66:$Y$90,V$66,$C$97:$D123)</f>
        <v>21.385871180758276</v>
      </c>
      <c r="W123" s="35">
        <f ca="1">DSUM($B$66:$Y$90,W$66,$C$97:$D123)</f>
        <v>21.210100234209431</v>
      </c>
      <c r="X123" s="35">
        <f ca="1">DSUM($B$66:$Y$90,X$66,$C$97:$D123)</f>
        <v>20.987895769558151</v>
      </c>
      <c r="Y123" s="35">
        <f ca="1">DSUM($B$66:$Y$90,Y$66,$C$97:$D123)</f>
        <v>265.93281096128021</v>
      </c>
      <c r="Z123" s="7"/>
      <c r="AA123" s="7"/>
      <c r="AB123" s="7"/>
      <c r="AC123" s="7"/>
    </row>
    <row r="124" spans="1:29" customFormat="1">
      <c r="A124" s="7"/>
      <c r="B124" s="7" t="s">
        <v>522</v>
      </c>
      <c r="C124" s="51" t="s">
        <v>501</v>
      </c>
      <c r="D124" s="51" t="s">
        <v>512</v>
      </c>
      <c r="E124" s="35">
        <f ca="1">DSUM($B$66:$Y$90,E$66,$C$97:$D124)</f>
        <v>0.11222936142245479</v>
      </c>
      <c r="F124" s="35">
        <f ca="1">DSUM($B$66:$Y$90,F$66,$C$97:$D124)</f>
        <v>0.28757298626642203</v>
      </c>
      <c r="G124" s="35">
        <f ca="1">DSUM($B$66:$Y$90,G$66,$C$97:$D124)</f>
        <v>0.63672888800351446</v>
      </c>
      <c r="H124" s="35">
        <f ca="1">DSUM($B$66:$Y$90,H$66,$C$97:$D124)</f>
        <v>1.2450036651887917</v>
      </c>
      <c r="I124" s="35">
        <f ca="1">DSUM($B$66:$Y$90,I$66,$C$97:$D124)</f>
        <v>2.1867880947556917</v>
      </c>
      <c r="J124" s="35">
        <f ca="1">DSUM($B$66:$Y$90,J$66,$C$97:$D124)</f>
        <v>3.4988145313158614</v>
      </c>
      <c r="K124" s="35">
        <f ca="1">DSUM($B$66:$Y$90,K$66,$C$97:$D124)</f>
        <v>5.1599279821427855</v>
      </c>
      <c r="L124" s="35">
        <f ca="1">DSUM($B$66:$Y$90,L$66,$C$97:$D124)</f>
        <v>7.086873404593371</v>
      </c>
      <c r="M124" s="35">
        <f ca="1">DSUM($B$66:$Y$90,M$66,$C$97:$D124)</f>
        <v>9.1489047593426935</v>
      </c>
      <c r="N124" s="35">
        <f ca="1">DSUM($B$66:$Y$90,N$66,$C$97:$D124)</f>
        <v>11.195941709679897</v>
      </c>
      <c r="O124" s="35">
        <f ca="1">DSUM($B$66:$Y$90,O$66,$C$97:$D124)</f>
        <v>13.089944401560251</v>
      </c>
      <c r="P124" s="35">
        <f ca="1">DSUM($B$66:$Y$90,P$66,$C$97:$D124)</f>
        <v>14.729287432471631</v>
      </c>
      <c r="Q124" s="35">
        <f ca="1">DSUM($B$66:$Y$90,Q$66,$C$97:$D124)</f>
        <v>16.060213677714643</v>
      </c>
      <c r="R124" s="35">
        <f ca="1">DSUM($B$66:$Y$90,R$66,$C$97:$D124)</f>
        <v>20.069925139605395</v>
      </c>
      <c r="S124" s="35">
        <f ca="1">DSUM($B$66:$Y$90,S$66,$C$97:$D124)</f>
        <v>20.784280935528187</v>
      </c>
      <c r="T124" s="35">
        <f ca="1">DSUM($B$66:$Y$90,T$66,$C$97:$D124)</f>
        <v>21.172617432257709</v>
      </c>
      <c r="U124" s="35">
        <f ca="1">DSUM($B$66:$Y$90,U$66,$C$97:$D124)</f>
        <v>21.37244788687735</v>
      </c>
      <c r="V124" s="35">
        <f ca="1">DSUM($B$66:$Y$90,V$66,$C$97:$D124)</f>
        <v>21.385871180758276</v>
      </c>
      <c r="W124" s="35">
        <f ca="1">DSUM($B$66:$Y$90,W$66,$C$97:$D124)</f>
        <v>21.210100234209431</v>
      </c>
      <c r="X124" s="35">
        <f ca="1">DSUM($B$66:$Y$90,X$66,$C$97:$D124)</f>
        <v>20.987895769558151</v>
      </c>
      <c r="Y124" s="35">
        <f ca="1">DSUM($B$66:$Y$90,Y$66,$C$97:$D124)</f>
        <v>265.93281096128021</v>
      </c>
      <c r="Z124" s="7"/>
      <c r="AA124" s="7"/>
      <c r="AB124" s="7"/>
      <c r="AC124" s="7"/>
    </row>
    <row r="125" spans="1:29" customFormat="1">
      <c r="A125" s="7"/>
      <c r="B125" s="7" t="s">
        <v>523</v>
      </c>
      <c r="C125" s="51" t="s">
        <v>502</v>
      </c>
      <c r="D125" s="51" t="s">
        <v>513</v>
      </c>
      <c r="E125" s="35">
        <f ca="1">DSUM($B$66:$Y$90,E$66,$C$97:$D125)</f>
        <v>0.11222936142245479</v>
      </c>
      <c r="F125" s="35">
        <f ca="1">DSUM($B$66:$Y$90,F$66,$C$97:$D125)</f>
        <v>0.28757298626642203</v>
      </c>
      <c r="G125" s="35">
        <f ca="1">DSUM($B$66:$Y$90,G$66,$C$97:$D125)</f>
        <v>0.63672888800351446</v>
      </c>
      <c r="H125" s="35">
        <f ca="1">DSUM($B$66:$Y$90,H$66,$C$97:$D125)</f>
        <v>1.2450036651887917</v>
      </c>
      <c r="I125" s="35">
        <f ca="1">DSUM($B$66:$Y$90,I$66,$C$97:$D125)</f>
        <v>2.1867880947556917</v>
      </c>
      <c r="J125" s="35">
        <f ca="1">DSUM($B$66:$Y$90,J$66,$C$97:$D125)</f>
        <v>3.4988145313158614</v>
      </c>
      <c r="K125" s="35">
        <f ca="1">DSUM($B$66:$Y$90,K$66,$C$97:$D125)</f>
        <v>5.1599279821427855</v>
      </c>
      <c r="L125" s="35">
        <f ca="1">DSUM($B$66:$Y$90,L$66,$C$97:$D125)</f>
        <v>7.086873404593371</v>
      </c>
      <c r="M125" s="35">
        <f ca="1">DSUM($B$66:$Y$90,M$66,$C$97:$D125)</f>
        <v>9.1489047593426935</v>
      </c>
      <c r="N125" s="35">
        <f ca="1">DSUM($B$66:$Y$90,N$66,$C$97:$D125)</f>
        <v>11.195941709679897</v>
      </c>
      <c r="O125" s="35">
        <f ca="1">DSUM($B$66:$Y$90,O$66,$C$97:$D125)</f>
        <v>13.089944401560251</v>
      </c>
      <c r="P125" s="35">
        <f ca="1">DSUM($B$66:$Y$90,P$66,$C$97:$D125)</f>
        <v>14.729287432471631</v>
      </c>
      <c r="Q125" s="35">
        <f ca="1">DSUM($B$66:$Y$90,Q$66,$C$97:$D125)</f>
        <v>16.060213677714643</v>
      </c>
      <c r="R125" s="35">
        <f ca="1">DSUM($B$66:$Y$90,R$66,$C$97:$D125)</f>
        <v>20.069925139605395</v>
      </c>
      <c r="S125" s="35">
        <f ca="1">DSUM($B$66:$Y$90,S$66,$C$97:$D125)</f>
        <v>20.784280935528187</v>
      </c>
      <c r="T125" s="35">
        <f ca="1">DSUM($B$66:$Y$90,T$66,$C$97:$D125)</f>
        <v>21.172617432257709</v>
      </c>
      <c r="U125" s="35">
        <f ca="1">DSUM($B$66:$Y$90,U$66,$C$97:$D125)</f>
        <v>21.37244788687735</v>
      </c>
      <c r="V125" s="35">
        <f ca="1">DSUM($B$66:$Y$90,V$66,$C$97:$D125)</f>
        <v>21.385871180758276</v>
      </c>
      <c r="W125" s="35">
        <f ca="1">DSUM($B$66:$Y$90,W$66,$C$97:$D125)</f>
        <v>21.210100234209431</v>
      </c>
      <c r="X125" s="35">
        <f ca="1">DSUM($B$66:$Y$90,X$66,$C$97:$D125)</f>
        <v>20.987895769558151</v>
      </c>
      <c r="Y125" s="35">
        <f ca="1">DSUM($B$66:$Y$90,Y$66,$C$97:$D125)</f>
        <v>265.93281096128021</v>
      </c>
      <c r="Z125" s="7"/>
      <c r="AA125" s="7"/>
      <c r="AB125" s="7"/>
      <c r="AC125" s="7"/>
    </row>
    <row r="126" spans="1:29" customFormat="1">
      <c r="A126" s="7"/>
      <c r="B126" s="7" t="s">
        <v>524</v>
      </c>
      <c r="C126" s="51" t="s">
        <v>503</v>
      </c>
      <c r="D126" s="51" t="s">
        <v>514</v>
      </c>
      <c r="E126" s="35">
        <f ca="1">DSUM($B$66:$Y$90,E$66,$C$97:$D126)</f>
        <v>0.11222936142245479</v>
      </c>
      <c r="F126" s="35">
        <f ca="1">DSUM($B$66:$Y$90,F$66,$C$97:$D126)</f>
        <v>0.28757298626642203</v>
      </c>
      <c r="G126" s="35">
        <f ca="1">DSUM($B$66:$Y$90,G$66,$C$97:$D126)</f>
        <v>0.63672888800351446</v>
      </c>
      <c r="H126" s="35">
        <f ca="1">DSUM($B$66:$Y$90,H$66,$C$97:$D126)</f>
        <v>1.2450036651887917</v>
      </c>
      <c r="I126" s="35">
        <f ca="1">DSUM($B$66:$Y$90,I$66,$C$97:$D126)</f>
        <v>2.1867880947556917</v>
      </c>
      <c r="J126" s="35">
        <f ca="1">DSUM($B$66:$Y$90,J$66,$C$97:$D126)</f>
        <v>3.4988145313158614</v>
      </c>
      <c r="K126" s="35">
        <f ca="1">DSUM($B$66:$Y$90,K$66,$C$97:$D126)</f>
        <v>5.1599279821427855</v>
      </c>
      <c r="L126" s="35">
        <f ca="1">DSUM($B$66:$Y$90,L$66,$C$97:$D126)</f>
        <v>7.086873404593371</v>
      </c>
      <c r="M126" s="35">
        <f ca="1">DSUM($B$66:$Y$90,M$66,$C$97:$D126)</f>
        <v>9.1489047593426935</v>
      </c>
      <c r="N126" s="35">
        <f ca="1">DSUM($B$66:$Y$90,N$66,$C$97:$D126)</f>
        <v>11.195941709679897</v>
      </c>
      <c r="O126" s="35">
        <f ca="1">DSUM($B$66:$Y$90,O$66,$C$97:$D126)</f>
        <v>13.089944401560251</v>
      </c>
      <c r="P126" s="35">
        <f ca="1">DSUM($B$66:$Y$90,P$66,$C$97:$D126)</f>
        <v>14.729287432471631</v>
      </c>
      <c r="Q126" s="35">
        <f ca="1">DSUM($B$66:$Y$90,Q$66,$C$97:$D126)</f>
        <v>16.060213677714643</v>
      </c>
      <c r="R126" s="35">
        <f ca="1">DSUM($B$66:$Y$90,R$66,$C$97:$D126)</f>
        <v>20.069925139605395</v>
      </c>
      <c r="S126" s="35">
        <f ca="1">DSUM($B$66:$Y$90,S$66,$C$97:$D126)</f>
        <v>20.784280935528187</v>
      </c>
      <c r="T126" s="35">
        <f ca="1">DSUM($B$66:$Y$90,T$66,$C$97:$D126)</f>
        <v>21.172617432257709</v>
      </c>
      <c r="U126" s="35">
        <f ca="1">DSUM($B$66:$Y$90,U$66,$C$97:$D126)</f>
        <v>21.37244788687735</v>
      </c>
      <c r="V126" s="35">
        <f ca="1">DSUM($B$66:$Y$90,V$66,$C$97:$D126)</f>
        <v>21.385871180758276</v>
      </c>
      <c r="W126" s="35">
        <f ca="1">DSUM($B$66:$Y$90,W$66,$C$97:$D126)</f>
        <v>21.210100234209431</v>
      </c>
      <c r="X126" s="35">
        <f ca="1">DSUM($B$66:$Y$90,X$66,$C$97:$D126)</f>
        <v>20.987895769558151</v>
      </c>
      <c r="Y126" s="35">
        <f ca="1">DSUM($B$66:$Y$90,Y$66,$C$97:$D126)</f>
        <v>265.93281096128021</v>
      </c>
      <c r="Z126" s="7"/>
      <c r="AA126" s="7"/>
      <c r="AB126" s="7"/>
      <c r="AC126" s="7"/>
    </row>
    <row r="127" spans="1:29" customFormat="1">
      <c r="A127" s="7"/>
      <c r="B127" s="7" t="s">
        <v>525</v>
      </c>
      <c r="C127" s="51" t="s">
        <v>504</v>
      </c>
      <c r="D127" s="51" t="s">
        <v>515</v>
      </c>
      <c r="E127" s="35">
        <f ca="1">DSUM($B$66:$Y$90,E$66,$C$97:$D127)</f>
        <v>0.11222936142245479</v>
      </c>
      <c r="F127" s="35">
        <f ca="1">DSUM($B$66:$Y$90,F$66,$C$97:$D127)</f>
        <v>0.28757298626642203</v>
      </c>
      <c r="G127" s="35">
        <f ca="1">DSUM($B$66:$Y$90,G$66,$C$97:$D127)</f>
        <v>0.63672888800351446</v>
      </c>
      <c r="H127" s="35">
        <f ca="1">DSUM($B$66:$Y$90,H$66,$C$97:$D127)</f>
        <v>1.2450036651887917</v>
      </c>
      <c r="I127" s="35">
        <f ca="1">DSUM($B$66:$Y$90,I$66,$C$97:$D127)</f>
        <v>2.1867880947556917</v>
      </c>
      <c r="J127" s="35">
        <f ca="1">DSUM($B$66:$Y$90,J$66,$C$97:$D127)</f>
        <v>3.4988145313158614</v>
      </c>
      <c r="K127" s="35">
        <f ca="1">DSUM($B$66:$Y$90,K$66,$C$97:$D127)</f>
        <v>5.1599279821427855</v>
      </c>
      <c r="L127" s="35">
        <f ca="1">DSUM($B$66:$Y$90,L$66,$C$97:$D127)</f>
        <v>7.086873404593371</v>
      </c>
      <c r="M127" s="35">
        <f ca="1">DSUM($B$66:$Y$90,M$66,$C$97:$D127)</f>
        <v>9.1489047593426935</v>
      </c>
      <c r="N127" s="35">
        <f ca="1">DSUM($B$66:$Y$90,N$66,$C$97:$D127)</f>
        <v>11.195941709679897</v>
      </c>
      <c r="O127" s="35">
        <f ca="1">DSUM($B$66:$Y$90,O$66,$C$97:$D127)</f>
        <v>13.089944401560251</v>
      </c>
      <c r="P127" s="35">
        <f ca="1">DSUM($B$66:$Y$90,P$66,$C$97:$D127)</f>
        <v>14.729287432471631</v>
      </c>
      <c r="Q127" s="35">
        <f ca="1">DSUM($B$66:$Y$90,Q$66,$C$97:$D127)</f>
        <v>16.060213677714643</v>
      </c>
      <c r="R127" s="35">
        <f ca="1">DSUM($B$66:$Y$90,R$66,$C$97:$D127)</f>
        <v>20.069925139605395</v>
      </c>
      <c r="S127" s="35">
        <f ca="1">DSUM($B$66:$Y$90,S$66,$C$97:$D127)</f>
        <v>20.784280935528187</v>
      </c>
      <c r="T127" s="35">
        <f ca="1">DSUM($B$66:$Y$90,T$66,$C$97:$D127)</f>
        <v>21.172617432257709</v>
      </c>
      <c r="U127" s="35">
        <f ca="1">DSUM($B$66:$Y$90,U$66,$C$97:$D127)</f>
        <v>21.37244788687735</v>
      </c>
      <c r="V127" s="35">
        <f ca="1">DSUM($B$66:$Y$90,V$66,$C$97:$D127)</f>
        <v>21.385871180758276</v>
      </c>
      <c r="W127" s="35">
        <f ca="1">DSUM($B$66:$Y$90,W$66,$C$97:$D127)</f>
        <v>21.210100234209431</v>
      </c>
      <c r="X127" s="35">
        <f ca="1">DSUM($B$66:$Y$90,X$66,$C$97:$D127)</f>
        <v>20.987895769558151</v>
      </c>
      <c r="Y127" s="35">
        <f ca="1">DSUM($B$66:$Y$90,Y$66,$C$97:$D127)</f>
        <v>265.93281096128021</v>
      </c>
      <c r="Z127" s="7"/>
      <c r="AA127" s="7"/>
      <c r="AB127" s="7"/>
      <c r="AC127" s="7"/>
    </row>
    <row r="128" spans="1:29" customFormat="1">
      <c r="A128" s="7"/>
      <c r="B128" s="7" t="s">
        <v>526</v>
      </c>
      <c r="C128" s="51" t="s">
        <v>505</v>
      </c>
      <c r="D128" s="51" t="s">
        <v>516</v>
      </c>
      <c r="E128" s="35">
        <f ca="1">DSUM($B$66:$Y$90,E$66,$C$97:$D128)</f>
        <v>0.11222936142245479</v>
      </c>
      <c r="F128" s="35">
        <f ca="1">DSUM($B$66:$Y$90,F$66,$C$97:$D128)</f>
        <v>0.28757298626642203</v>
      </c>
      <c r="G128" s="35">
        <f ca="1">DSUM($B$66:$Y$90,G$66,$C$97:$D128)</f>
        <v>0.63672888800351446</v>
      </c>
      <c r="H128" s="35">
        <f ca="1">DSUM($B$66:$Y$90,H$66,$C$97:$D128)</f>
        <v>1.2450036651887917</v>
      </c>
      <c r="I128" s="35">
        <f ca="1">DSUM($B$66:$Y$90,I$66,$C$97:$D128)</f>
        <v>2.1867880947556917</v>
      </c>
      <c r="J128" s="35">
        <f ca="1">DSUM($B$66:$Y$90,J$66,$C$97:$D128)</f>
        <v>3.4988145313158614</v>
      </c>
      <c r="K128" s="35">
        <f ca="1">DSUM($B$66:$Y$90,K$66,$C$97:$D128)</f>
        <v>5.1599279821427855</v>
      </c>
      <c r="L128" s="35">
        <f ca="1">DSUM($B$66:$Y$90,L$66,$C$97:$D128)</f>
        <v>7.086873404593371</v>
      </c>
      <c r="M128" s="35">
        <f ca="1">DSUM($B$66:$Y$90,M$66,$C$97:$D128)</f>
        <v>9.1489047593426935</v>
      </c>
      <c r="N128" s="35">
        <f ca="1">DSUM($B$66:$Y$90,N$66,$C$97:$D128)</f>
        <v>11.195941709679897</v>
      </c>
      <c r="O128" s="35">
        <f ca="1">DSUM($B$66:$Y$90,O$66,$C$97:$D128)</f>
        <v>13.089944401560251</v>
      </c>
      <c r="P128" s="35">
        <f ca="1">DSUM($B$66:$Y$90,P$66,$C$97:$D128)</f>
        <v>14.729287432471631</v>
      </c>
      <c r="Q128" s="35">
        <f ca="1">DSUM($B$66:$Y$90,Q$66,$C$97:$D128)</f>
        <v>16.060213677714643</v>
      </c>
      <c r="R128" s="35">
        <f ca="1">DSUM($B$66:$Y$90,R$66,$C$97:$D128)</f>
        <v>20.069925139605395</v>
      </c>
      <c r="S128" s="35">
        <f ca="1">DSUM($B$66:$Y$90,S$66,$C$97:$D128)</f>
        <v>20.784280935528187</v>
      </c>
      <c r="T128" s="35">
        <f ca="1">DSUM($B$66:$Y$90,T$66,$C$97:$D128)</f>
        <v>21.172617432257709</v>
      </c>
      <c r="U128" s="35">
        <f ca="1">DSUM($B$66:$Y$90,U$66,$C$97:$D128)</f>
        <v>21.37244788687735</v>
      </c>
      <c r="V128" s="35">
        <f ca="1">DSUM($B$66:$Y$90,V$66,$C$97:$D128)</f>
        <v>21.385871180758276</v>
      </c>
      <c r="W128" s="35">
        <f ca="1">DSUM($B$66:$Y$90,W$66,$C$97:$D128)</f>
        <v>21.210100234209431</v>
      </c>
      <c r="X128" s="35">
        <f ca="1">DSUM($B$66:$Y$90,X$66,$C$97:$D128)</f>
        <v>20.987895769558151</v>
      </c>
      <c r="Y128" s="35">
        <f ca="1">DSUM($B$66:$Y$90,Y$66,$C$97:$D128)</f>
        <v>265.93281096128021</v>
      </c>
      <c r="Z128" s="7"/>
      <c r="AA128" s="7"/>
      <c r="AB128" s="7"/>
      <c r="AC128" s="7"/>
    </row>
    <row r="129" spans="1:29" customFormat="1">
      <c r="A129" s="7"/>
      <c r="B129" s="7" t="s">
        <v>527</v>
      </c>
      <c r="C129" s="51" t="s">
        <v>506</v>
      </c>
      <c r="D129" s="51" t="s">
        <v>136</v>
      </c>
      <c r="E129" s="35">
        <f ca="1">DSUM($B$66:$Y$90,E$66,$C$97:$D129)</f>
        <v>0.12909059149259045</v>
      </c>
      <c r="F129" s="35">
        <f ca="1">DSUM($B$66:$Y$90,F$66,$C$97:$D129)</f>
        <v>0.33078878796936884</v>
      </c>
      <c r="G129" s="35">
        <f ca="1">DSUM($B$66:$Y$90,G$66,$C$97:$D129)</f>
        <v>0.73243950434579863</v>
      </c>
      <c r="H129" s="35">
        <f ca="1">DSUM($B$66:$Y$90,H$66,$C$97:$D129)</f>
        <v>1.4321953748579266</v>
      </c>
      <c r="I129" s="35">
        <f ca="1">DSUM($B$66:$Y$90,I$66,$C$97:$D129)</f>
        <v>2.51566430185972</v>
      </c>
      <c r="J129" s="35">
        <f ca="1">DSUM($B$66:$Y$90,J$66,$C$97:$D129)</f>
        <v>4.0251417168770907</v>
      </c>
      <c r="K129" s="35">
        <f ca="1">DSUM($B$66:$Y$90,K$66,$C$97:$D129)</f>
        <v>5.9363306211839335</v>
      </c>
      <c r="L129" s="35">
        <f ca="1">DSUM($B$66:$Y$90,L$66,$C$97:$D129)</f>
        <v>8.1534839578547071</v>
      </c>
      <c r="M129" s="35">
        <f ca="1">DSUM($B$66:$Y$90,M$66,$C$97:$D129)</f>
        <v>10.526201455298132</v>
      </c>
      <c r="N129" s="35">
        <f ca="1">DSUM($B$66:$Y$90,N$66,$C$97:$D129)</f>
        <v>12.88181754627988</v>
      </c>
      <c r="O129" s="35">
        <f ca="1">DSUM($B$66:$Y$90,O$66,$C$97:$D129)</f>
        <v>15.061498417204136</v>
      </c>
      <c r="P129" s="35">
        <f ca="1">DSUM($B$66:$Y$90,P$66,$C$97:$D129)</f>
        <v>16.948290491436421</v>
      </c>
      <c r="Q129" s="35">
        <f ca="1">DSUM($B$66:$Y$90,Q$66,$C$97:$D129)</f>
        <v>18.480307120011293</v>
      </c>
      <c r="R129" s="35">
        <f ca="1">DSUM($B$66:$Y$90,R$66,$C$97:$D129)</f>
        <v>23.105854252222048</v>
      </c>
      <c r="S129" s="35">
        <f ca="1">DSUM($B$66:$Y$90,S$66,$C$97:$D129)</f>
        <v>23.928268896318663</v>
      </c>
      <c r="T129" s="35">
        <f ca="1">DSUM($B$66:$Y$90,T$66,$C$97:$D129)</f>
        <v>24.375087094520705</v>
      </c>
      <c r="U129" s="35">
        <f ca="1">DSUM($B$66:$Y$90,U$66,$C$97:$D129)</f>
        <v>24.605072093376791</v>
      </c>
      <c r="V129" s="35">
        <f ca="1">DSUM($B$66:$Y$90,V$66,$C$97:$D129)</f>
        <v>24.620707893136963</v>
      </c>
      <c r="W129" s="35">
        <f ca="1">DSUM($B$66:$Y$90,W$66,$C$97:$D129)</f>
        <v>24.418155674330887</v>
      </c>
      <c r="X129" s="35">
        <f ca="1">DSUM($B$66:$Y$90,X$66,$C$97:$D129)</f>
        <v>24.162226499169215</v>
      </c>
      <c r="Y129" s="35">
        <f ca="1">DSUM($B$66:$Y$90,Y$66,$C$97:$D129)</f>
        <v>306.1353710246317</v>
      </c>
      <c r="Z129" s="7"/>
      <c r="AA129" s="7"/>
      <c r="AB129" s="7"/>
      <c r="AC129" s="7"/>
    </row>
    <row r="130" spans="1:29" customForma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row>
    <row r="131" spans="1:29" customForma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row>
    <row r="132" spans="1:29" customFormat="1" ht="15">
      <c r="A132" s="56" t="s">
        <v>137</v>
      </c>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row>
    <row r="133" spans="1:29" customFormat="1" ht="15">
      <c r="A133" s="7"/>
      <c r="B133" s="7"/>
      <c r="C133" s="7"/>
      <c r="D133" s="172" t="str">
        <f>C8</f>
        <v>HPWH</v>
      </c>
      <c r="E133" s="59">
        <f t="shared" ref="E133:X133" si="34">E11</f>
        <v>2016</v>
      </c>
      <c r="F133" s="60">
        <f t="shared" si="34"/>
        <v>2017</v>
      </c>
      <c r="G133" s="60">
        <f t="shared" si="34"/>
        <v>2018</v>
      </c>
      <c r="H133" s="60">
        <f t="shared" si="34"/>
        <v>2019</v>
      </c>
      <c r="I133" s="60">
        <f t="shared" si="34"/>
        <v>2020</v>
      </c>
      <c r="J133" s="60">
        <f t="shared" si="34"/>
        <v>2021</v>
      </c>
      <c r="K133" s="60">
        <f t="shared" si="34"/>
        <v>2022</v>
      </c>
      <c r="L133" s="60">
        <f t="shared" si="34"/>
        <v>2023</v>
      </c>
      <c r="M133" s="60">
        <f t="shared" si="34"/>
        <v>2024</v>
      </c>
      <c r="N133" s="60">
        <f t="shared" si="34"/>
        <v>2025</v>
      </c>
      <c r="O133" s="60">
        <f t="shared" si="34"/>
        <v>2026</v>
      </c>
      <c r="P133" s="60">
        <f t="shared" si="34"/>
        <v>2027</v>
      </c>
      <c r="Q133" s="60">
        <f t="shared" si="34"/>
        <v>2028</v>
      </c>
      <c r="R133" s="60">
        <f t="shared" si="34"/>
        <v>2029</v>
      </c>
      <c r="S133" s="60">
        <f t="shared" si="34"/>
        <v>2030</v>
      </c>
      <c r="T133" s="60">
        <f t="shared" si="34"/>
        <v>2031</v>
      </c>
      <c r="U133" s="60">
        <f t="shared" si="34"/>
        <v>2032</v>
      </c>
      <c r="V133" s="60">
        <f t="shared" si="34"/>
        <v>2033</v>
      </c>
      <c r="W133" s="60">
        <f t="shared" si="34"/>
        <v>2034</v>
      </c>
      <c r="X133" s="60">
        <f t="shared" si="34"/>
        <v>2035</v>
      </c>
      <c r="Y133" s="61" t="s">
        <v>63</v>
      </c>
      <c r="Z133" s="7"/>
      <c r="AA133" s="7"/>
      <c r="AB133" s="7"/>
      <c r="AC133" s="7"/>
    </row>
    <row r="134" spans="1:29" customFormat="1" ht="15">
      <c r="A134" s="7"/>
      <c r="B134" s="7"/>
      <c r="C134" s="7"/>
      <c r="D134" s="7" t="str">
        <f>C8</f>
        <v>HPWH</v>
      </c>
      <c r="E134" s="62" t="str">
        <f>CONCATENATE("aMW_",E$11)</f>
        <v>aMW_2016</v>
      </c>
      <c r="F134" s="63" t="str">
        <f t="shared" ref="F134:X134" si="35">CONCATENATE("aMW_",F$11)</f>
        <v>aMW_2017</v>
      </c>
      <c r="G134" s="63" t="str">
        <f t="shared" si="35"/>
        <v>aMW_2018</v>
      </c>
      <c r="H134" s="63" t="str">
        <f t="shared" si="35"/>
        <v>aMW_2019</v>
      </c>
      <c r="I134" s="63" t="str">
        <f t="shared" si="35"/>
        <v>aMW_2020</v>
      </c>
      <c r="J134" s="63" t="str">
        <f t="shared" si="35"/>
        <v>aMW_2021</v>
      </c>
      <c r="K134" s="63" t="str">
        <f t="shared" si="35"/>
        <v>aMW_2022</v>
      </c>
      <c r="L134" s="63" t="str">
        <f t="shared" si="35"/>
        <v>aMW_2023</v>
      </c>
      <c r="M134" s="63" t="str">
        <f t="shared" si="35"/>
        <v>aMW_2024</v>
      </c>
      <c r="N134" s="63" t="str">
        <f t="shared" si="35"/>
        <v>aMW_2025</v>
      </c>
      <c r="O134" s="63" t="str">
        <f t="shared" si="35"/>
        <v>aMW_2026</v>
      </c>
      <c r="P134" s="63" t="str">
        <f t="shared" si="35"/>
        <v>aMW_2027</v>
      </c>
      <c r="Q134" s="63" t="str">
        <f t="shared" si="35"/>
        <v>aMW_2028</v>
      </c>
      <c r="R134" s="63" t="str">
        <f t="shared" si="35"/>
        <v>aMW_2029</v>
      </c>
      <c r="S134" s="63" t="str">
        <f t="shared" si="35"/>
        <v>aMW_2030</v>
      </c>
      <c r="T134" s="63" t="str">
        <f t="shared" si="35"/>
        <v>aMW_2031</v>
      </c>
      <c r="U134" s="63" t="str">
        <f t="shared" si="35"/>
        <v>aMW_2032</v>
      </c>
      <c r="V134" s="63" t="str">
        <f t="shared" si="35"/>
        <v>aMW_2033</v>
      </c>
      <c r="W134" s="63" t="str">
        <f t="shared" si="35"/>
        <v>aMW_2034</v>
      </c>
      <c r="X134" s="63" t="str">
        <f t="shared" si="35"/>
        <v>aMW_2035</v>
      </c>
      <c r="Y134" s="64" t="s">
        <v>63</v>
      </c>
      <c r="Z134" s="7"/>
      <c r="AA134" s="7"/>
      <c r="AB134" s="7"/>
      <c r="AC134" s="7"/>
    </row>
    <row r="135" spans="1:29" customFormat="1">
      <c r="A135" s="7"/>
      <c r="B135" s="7"/>
      <c r="C135" s="7"/>
      <c r="D135" s="7" t="s">
        <v>71</v>
      </c>
      <c r="E135" s="29">
        <f t="shared" ref="E135:Y135" si="36">E98</f>
        <v>0</v>
      </c>
      <c r="F135" s="29">
        <f t="shared" si="36"/>
        <v>0</v>
      </c>
      <c r="G135" s="29">
        <f t="shared" si="36"/>
        <v>0</v>
      </c>
      <c r="H135" s="29">
        <f t="shared" si="36"/>
        <v>0</v>
      </c>
      <c r="I135" s="29">
        <f t="shared" si="36"/>
        <v>0</v>
      </c>
      <c r="J135" s="29">
        <f t="shared" si="36"/>
        <v>0</v>
      </c>
      <c r="K135" s="29">
        <f t="shared" si="36"/>
        <v>0</v>
      </c>
      <c r="L135" s="29">
        <f t="shared" si="36"/>
        <v>0</v>
      </c>
      <c r="M135" s="29">
        <f t="shared" si="36"/>
        <v>0</v>
      </c>
      <c r="N135" s="29">
        <f t="shared" si="36"/>
        <v>0</v>
      </c>
      <c r="O135" s="29">
        <f t="shared" si="36"/>
        <v>0</v>
      </c>
      <c r="P135" s="29">
        <f t="shared" si="36"/>
        <v>0</v>
      </c>
      <c r="Q135" s="29">
        <f t="shared" si="36"/>
        <v>0</v>
      </c>
      <c r="R135" s="29">
        <f t="shared" si="36"/>
        <v>0</v>
      </c>
      <c r="S135" s="29">
        <f t="shared" si="36"/>
        <v>0</v>
      </c>
      <c r="T135" s="29">
        <f t="shared" si="36"/>
        <v>0</v>
      </c>
      <c r="U135" s="29">
        <f t="shared" si="36"/>
        <v>0</v>
      </c>
      <c r="V135" s="29">
        <f t="shared" si="36"/>
        <v>0</v>
      </c>
      <c r="W135" s="29">
        <f t="shared" si="36"/>
        <v>0</v>
      </c>
      <c r="X135" s="29">
        <f t="shared" si="36"/>
        <v>0</v>
      </c>
      <c r="Y135" s="29">
        <f t="shared" si="36"/>
        <v>0</v>
      </c>
      <c r="Z135" s="7"/>
      <c r="AA135" s="7"/>
      <c r="AB135" s="7"/>
      <c r="AC135" s="7"/>
    </row>
    <row r="136" spans="1:29" customFormat="1">
      <c r="A136" s="7"/>
      <c r="B136" s="7"/>
      <c r="C136" s="7"/>
      <c r="D136" s="7" t="s">
        <v>568</v>
      </c>
      <c r="E136" s="29">
        <f t="shared" ref="E136:Y147" si="37">E99-E98</f>
        <v>0</v>
      </c>
      <c r="F136" s="29">
        <f t="shared" si="37"/>
        <v>0</v>
      </c>
      <c r="G136" s="29">
        <f t="shared" si="37"/>
        <v>0</v>
      </c>
      <c r="H136" s="29">
        <f t="shared" si="37"/>
        <v>0</v>
      </c>
      <c r="I136" s="29">
        <f t="shared" si="37"/>
        <v>0</v>
      </c>
      <c r="J136" s="29">
        <f t="shared" si="37"/>
        <v>0</v>
      </c>
      <c r="K136" s="29">
        <f t="shared" si="37"/>
        <v>0</v>
      </c>
      <c r="L136" s="29">
        <f t="shared" si="37"/>
        <v>0</v>
      </c>
      <c r="M136" s="29">
        <f t="shared" si="37"/>
        <v>0</v>
      </c>
      <c r="N136" s="29">
        <f t="shared" si="37"/>
        <v>0</v>
      </c>
      <c r="O136" s="29">
        <f t="shared" si="37"/>
        <v>0</v>
      </c>
      <c r="P136" s="29">
        <f t="shared" si="37"/>
        <v>0</v>
      </c>
      <c r="Q136" s="29">
        <f t="shared" si="37"/>
        <v>0</v>
      </c>
      <c r="R136" s="29">
        <f t="shared" si="37"/>
        <v>0</v>
      </c>
      <c r="S136" s="29">
        <f t="shared" si="37"/>
        <v>0</v>
      </c>
      <c r="T136" s="29">
        <f t="shared" si="37"/>
        <v>0</v>
      </c>
      <c r="U136" s="29">
        <f t="shared" si="37"/>
        <v>0</v>
      </c>
      <c r="V136" s="29">
        <f t="shared" si="37"/>
        <v>0</v>
      </c>
      <c r="W136" s="29">
        <f t="shared" si="37"/>
        <v>0</v>
      </c>
      <c r="X136" s="29">
        <f t="shared" si="37"/>
        <v>0</v>
      </c>
      <c r="Y136" s="29">
        <f t="shared" si="37"/>
        <v>0</v>
      </c>
      <c r="Z136" s="7"/>
      <c r="AA136" s="7"/>
      <c r="AB136" s="7"/>
      <c r="AC136" s="7"/>
    </row>
    <row r="137" spans="1:29" customFormat="1">
      <c r="A137" s="7"/>
      <c r="B137" s="7"/>
      <c r="C137" s="7"/>
      <c r="D137" s="7" t="s">
        <v>77</v>
      </c>
      <c r="E137" s="29">
        <f t="shared" si="37"/>
        <v>0</v>
      </c>
      <c r="F137" s="29">
        <f t="shared" si="37"/>
        <v>0</v>
      </c>
      <c r="G137" s="29">
        <f t="shared" si="37"/>
        <v>0</v>
      </c>
      <c r="H137" s="29">
        <f t="shared" si="37"/>
        <v>0</v>
      </c>
      <c r="I137" s="29">
        <f t="shared" si="37"/>
        <v>0</v>
      </c>
      <c r="J137" s="29">
        <f t="shared" si="37"/>
        <v>0</v>
      </c>
      <c r="K137" s="29">
        <f t="shared" si="37"/>
        <v>0</v>
      </c>
      <c r="L137" s="29">
        <f t="shared" si="37"/>
        <v>0</v>
      </c>
      <c r="M137" s="29">
        <f t="shared" si="37"/>
        <v>0</v>
      </c>
      <c r="N137" s="29">
        <f t="shared" si="37"/>
        <v>0</v>
      </c>
      <c r="O137" s="29">
        <f t="shared" si="37"/>
        <v>0</v>
      </c>
      <c r="P137" s="29">
        <f t="shared" si="37"/>
        <v>0</v>
      </c>
      <c r="Q137" s="29">
        <f t="shared" si="37"/>
        <v>0</v>
      </c>
      <c r="R137" s="29">
        <f t="shared" si="37"/>
        <v>0</v>
      </c>
      <c r="S137" s="29">
        <f t="shared" si="37"/>
        <v>0</v>
      </c>
      <c r="T137" s="29">
        <f t="shared" si="37"/>
        <v>0</v>
      </c>
      <c r="U137" s="29">
        <f t="shared" si="37"/>
        <v>0</v>
      </c>
      <c r="V137" s="29">
        <f t="shared" si="37"/>
        <v>0</v>
      </c>
      <c r="W137" s="29">
        <f t="shared" si="37"/>
        <v>0</v>
      </c>
      <c r="X137" s="29">
        <f t="shared" si="37"/>
        <v>0</v>
      </c>
      <c r="Y137" s="29">
        <f t="shared" ref="Y137" si="38">Y100-Y99</f>
        <v>0</v>
      </c>
      <c r="Z137" s="7"/>
      <c r="AA137" s="7"/>
      <c r="AB137" s="7"/>
      <c r="AC137" s="7"/>
    </row>
    <row r="138" spans="1:29" customFormat="1">
      <c r="A138" s="7"/>
      <c r="B138" s="7"/>
      <c r="C138" s="7"/>
      <c r="D138" s="7" t="s">
        <v>80</v>
      </c>
      <c r="E138" s="29">
        <f t="shared" si="37"/>
        <v>0</v>
      </c>
      <c r="F138" s="29">
        <f t="shared" si="37"/>
        <v>0</v>
      </c>
      <c r="G138" s="29">
        <f t="shared" si="37"/>
        <v>0</v>
      </c>
      <c r="H138" s="29">
        <f t="shared" si="37"/>
        <v>0</v>
      </c>
      <c r="I138" s="29">
        <f t="shared" si="37"/>
        <v>0</v>
      </c>
      <c r="J138" s="29">
        <f t="shared" si="37"/>
        <v>0</v>
      </c>
      <c r="K138" s="29">
        <f t="shared" si="37"/>
        <v>0</v>
      </c>
      <c r="L138" s="29">
        <f t="shared" si="37"/>
        <v>0</v>
      </c>
      <c r="M138" s="29">
        <f t="shared" si="37"/>
        <v>0</v>
      </c>
      <c r="N138" s="29">
        <f t="shared" si="37"/>
        <v>0</v>
      </c>
      <c r="O138" s="29">
        <f t="shared" si="37"/>
        <v>0</v>
      </c>
      <c r="P138" s="29">
        <f t="shared" si="37"/>
        <v>0</v>
      </c>
      <c r="Q138" s="29">
        <f t="shared" si="37"/>
        <v>0</v>
      </c>
      <c r="R138" s="29">
        <f t="shared" si="37"/>
        <v>0</v>
      </c>
      <c r="S138" s="29">
        <f t="shared" si="37"/>
        <v>0</v>
      </c>
      <c r="T138" s="29">
        <f t="shared" si="37"/>
        <v>0</v>
      </c>
      <c r="U138" s="29">
        <f t="shared" si="37"/>
        <v>0</v>
      </c>
      <c r="V138" s="29">
        <f t="shared" si="37"/>
        <v>0</v>
      </c>
      <c r="W138" s="29">
        <f t="shared" si="37"/>
        <v>0</v>
      </c>
      <c r="X138" s="29">
        <f t="shared" si="37"/>
        <v>0</v>
      </c>
      <c r="Y138" s="29">
        <f t="shared" ref="Y138" si="39">Y101-Y100</f>
        <v>0</v>
      </c>
      <c r="Z138" s="7"/>
      <c r="AA138" s="7"/>
      <c r="AB138" s="7"/>
      <c r="AC138" s="7"/>
    </row>
    <row r="139" spans="1:29" customFormat="1">
      <c r="A139" s="7"/>
      <c r="B139" s="7"/>
      <c r="C139" s="7"/>
      <c r="D139" s="7" t="s">
        <v>83</v>
      </c>
      <c r="E139" s="29">
        <f t="shared" si="37"/>
        <v>0</v>
      </c>
      <c r="F139" s="29">
        <f t="shared" si="37"/>
        <v>0</v>
      </c>
      <c r="G139" s="29">
        <f t="shared" si="37"/>
        <v>0</v>
      </c>
      <c r="H139" s="29">
        <f t="shared" si="37"/>
        <v>0</v>
      </c>
      <c r="I139" s="29">
        <f t="shared" si="37"/>
        <v>0</v>
      </c>
      <c r="J139" s="29">
        <f t="shared" si="37"/>
        <v>0</v>
      </c>
      <c r="K139" s="29">
        <f t="shared" si="37"/>
        <v>0</v>
      </c>
      <c r="L139" s="29">
        <f t="shared" si="37"/>
        <v>0</v>
      </c>
      <c r="M139" s="29">
        <f t="shared" si="37"/>
        <v>0</v>
      </c>
      <c r="N139" s="29">
        <f t="shared" si="37"/>
        <v>0</v>
      </c>
      <c r="O139" s="29">
        <f t="shared" si="37"/>
        <v>0</v>
      </c>
      <c r="P139" s="29">
        <f t="shared" si="37"/>
        <v>0</v>
      </c>
      <c r="Q139" s="29">
        <f t="shared" si="37"/>
        <v>0</v>
      </c>
      <c r="R139" s="29">
        <f t="shared" si="37"/>
        <v>0</v>
      </c>
      <c r="S139" s="29">
        <f t="shared" si="37"/>
        <v>0</v>
      </c>
      <c r="T139" s="29">
        <f t="shared" si="37"/>
        <v>0</v>
      </c>
      <c r="U139" s="29">
        <f t="shared" si="37"/>
        <v>0</v>
      </c>
      <c r="V139" s="29">
        <f t="shared" si="37"/>
        <v>0</v>
      </c>
      <c r="W139" s="29">
        <f t="shared" si="37"/>
        <v>0</v>
      </c>
      <c r="X139" s="29">
        <f t="shared" si="37"/>
        <v>0</v>
      </c>
      <c r="Y139" s="29">
        <f t="shared" ref="Y139" si="40">Y102-Y101</f>
        <v>0</v>
      </c>
      <c r="Z139" s="7"/>
      <c r="AA139" s="7"/>
      <c r="AB139" s="7"/>
      <c r="AC139" s="7"/>
    </row>
    <row r="140" spans="1:29" customFormat="1">
      <c r="A140" s="7"/>
      <c r="B140" s="7"/>
      <c r="C140" s="7"/>
      <c r="D140" s="7" t="s">
        <v>86</v>
      </c>
      <c r="E140" s="29">
        <f t="shared" si="37"/>
        <v>0</v>
      </c>
      <c r="F140" s="29">
        <f>F103-F102</f>
        <v>0</v>
      </c>
      <c r="G140" s="29">
        <f t="shared" si="37"/>
        <v>0</v>
      </c>
      <c r="H140" s="29">
        <f t="shared" si="37"/>
        <v>0</v>
      </c>
      <c r="I140" s="29">
        <f t="shared" si="37"/>
        <v>0</v>
      </c>
      <c r="J140" s="29">
        <f t="shared" si="37"/>
        <v>0</v>
      </c>
      <c r="K140" s="29">
        <f t="shared" si="37"/>
        <v>0</v>
      </c>
      <c r="L140" s="29">
        <f t="shared" si="37"/>
        <v>0</v>
      </c>
      <c r="M140" s="29">
        <f t="shared" si="37"/>
        <v>0</v>
      </c>
      <c r="N140" s="29">
        <f t="shared" si="37"/>
        <v>0</v>
      </c>
      <c r="O140" s="29">
        <f t="shared" si="37"/>
        <v>0</v>
      </c>
      <c r="P140" s="29">
        <f t="shared" si="37"/>
        <v>0</v>
      </c>
      <c r="Q140" s="29">
        <f t="shared" si="37"/>
        <v>0</v>
      </c>
      <c r="R140" s="29">
        <f t="shared" si="37"/>
        <v>0</v>
      </c>
      <c r="S140" s="29">
        <f t="shared" si="37"/>
        <v>0</v>
      </c>
      <c r="T140" s="29">
        <f t="shared" si="37"/>
        <v>0</v>
      </c>
      <c r="U140" s="29">
        <f t="shared" si="37"/>
        <v>0</v>
      </c>
      <c r="V140" s="29">
        <f t="shared" si="37"/>
        <v>0</v>
      </c>
      <c r="W140" s="29">
        <f t="shared" si="37"/>
        <v>0</v>
      </c>
      <c r="X140" s="29">
        <f t="shared" si="37"/>
        <v>0</v>
      </c>
      <c r="Y140" s="29">
        <f t="shared" ref="Y140" si="41">Y103-Y102</f>
        <v>0</v>
      </c>
      <c r="Z140" s="7"/>
      <c r="AA140" s="7"/>
      <c r="AB140" s="7"/>
      <c r="AC140" s="7"/>
    </row>
    <row r="141" spans="1:29" customFormat="1">
      <c r="A141" s="7"/>
      <c r="B141" s="7"/>
      <c r="C141" s="7"/>
      <c r="D141" s="7" t="s">
        <v>89</v>
      </c>
      <c r="E141" s="29">
        <f t="shared" si="37"/>
        <v>0</v>
      </c>
      <c r="F141" s="29">
        <f t="shared" si="37"/>
        <v>0</v>
      </c>
      <c r="G141" s="29">
        <f t="shared" si="37"/>
        <v>0</v>
      </c>
      <c r="H141" s="29">
        <f t="shared" si="37"/>
        <v>0</v>
      </c>
      <c r="I141" s="29">
        <f t="shared" si="37"/>
        <v>0</v>
      </c>
      <c r="J141" s="29">
        <f t="shared" si="37"/>
        <v>0</v>
      </c>
      <c r="K141" s="29">
        <f t="shared" si="37"/>
        <v>0</v>
      </c>
      <c r="L141" s="29">
        <f t="shared" si="37"/>
        <v>0</v>
      </c>
      <c r="M141" s="29">
        <f t="shared" si="37"/>
        <v>0</v>
      </c>
      <c r="N141" s="29">
        <f t="shared" si="37"/>
        <v>0</v>
      </c>
      <c r="O141" s="29">
        <f t="shared" si="37"/>
        <v>0</v>
      </c>
      <c r="P141" s="29">
        <f t="shared" si="37"/>
        <v>0</v>
      </c>
      <c r="Q141" s="29">
        <f t="shared" si="37"/>
        <v>0</v>
      </c>
      <c r="R141" s="29">
        <f t="shared" si="37"/>
        <v>0</v>
      </c>
      <c r="S141" s="29">
        <f t="shared" si="37"/>
        <v>0</v>
      </c>
      <c r="T141" s="29">
        <f t="shared" si="37"/>
        <v>0</v>
      </c>
      <c r="U141" s="29">
        <f t="shared" si="37"/>
        <v>0</v>
      </c>
      <c r="V141" s="29">
        <f t="shared" si="37"/>
        <v>0</v>
      </c>
      <c r="W141" s="29">
        <f t="shared" si="37"/>
        <v>0</v>
      </c>
      <c r="X141" s="29">
        <f t="shared" si="37"/>
        <v>0</v>
      </c>
      <c r="Y141" s="29">
        <f t="shared" ref="Y141" si="42">Y104-Y103</f>
        <v>0</v>
      </c>
      <c r="Z141" s="7"/>
      <c r="AA141" s="7"/>
      <c r="AB141" s="7"/>
      <c r="AC141" s="7"/>
    </row>
    <row r="142" spans="1:29" customFormat="1">
      <c r="A142" s="7"/>
      <c r="B142" s="7"/>
      <c r="C142" s="7"/>
      <c r="D142" s="7" t="s">
        <v>92</v>
      </c>
      <c r="E142" s="29">
        <f t="shared" ca="1" si="37"/>
        <v>9.4091709804466656E-2</v>
      </c>
      <c r="F142" s="29">
        <f t="shared" ca="1" si="37"/>
        <v>0.24129560553504709</v>
      </c>
      <c r="G142" s="29">
        <f t="shared" ca="1" si="37"/>
        <v>0.53469984312626517</v>
      </c>
      <c r="H142" s="29">
        <f t="shared" ca="1" si="37"/>
        <v>1.0463525573636825</v>
      </c>
      <c r="I142" s="29">
        <f t="shared" ca="1" si="37"/>
        <v>1.8393473791299031</v>
      </c>
      <c r="J142" s="29">
        <f t="shared" ca="1" si="37"/>
        <v>2.9452717662830756</v>
      </c>
      <c r="K142" s="29">
        <f t="shared" ca="1" si="37"/>
        <v>4.3470360990253063</v>
      </c>
      <c r="L142" s="29">
        <f t="shared" ca="1" si="37"/>
        <v>5.9751278598941076</v>
      </c>
      <c r="M142" s="29">
        <f t="shared" ca="1" si="37"/>
        <v>7.7197339569890993</v>
      </c>
      <c r="N142" s="29">
        <f t="shared" ca="1" si="37"/>
        <v>9.454364487981012</v>
      </c>
      <c r="O142" s="29">
        <f t="shared" ca="1" si="37"/>
        <v>11.062309286335996</v>
      </c>
      <c r="P142" s="29">
        <f t="shared" ca="1" si="37"/>
        <v>12.457297028159928</v>
      </c>
      <c r="Q142" s="29">
        <f t="shared" ca="1" si="37"/>
        <v>13.593312627483961</v>
      </c>
      <c r="R142" s="29">
        <f t="shared" ca="1" si="37"/>
        <v>17.194013616830212</v>
      </c>
      <c r="S142" s="29">
        <f t="shared" ca="1" si="37"/>
        <v>17.806005597417055</v>
      </c>
      <c r="T142" s="29">
        <f t="shared" ca="1" si="37"/>
        <v>18.134046979438953</v>
      </c>
      <c r="U142" s="29">
        <f t="shared" ca="1" si="37"/>
        <v>18.303936935186272</v>
      </c>
      <c r="V142" s="29">
        <f t="shared" ca="1" si="37"/>
        <v>18.318677954024992</v>
      </c>
      <c r="W142" s="29">
        <f t="shared" ca="1" si="37"/>
        <v>18.164659966177247</v>
      </c>
      <c r="X142" s="29">
        <f t="shared" ca="1" si="37"/>
        <v>17.972294842808601</v>
      </c>
      <c r="Y142" s="29">
        <f t="shared" ref="Y142" ca="1" si="43">Y105-Y104</f>
        <v>227.39057275703874</v>
      </c>
      <c r="Z142" s="7"/>
      <c r="AA142" s="7"/>
      <c r="AB142" s="7"/>
      <c r="AC142" s="7"/>
    </row>
    <row r="143" spans="1:29" customFormat="1">
      <c r="A143" s="7"/>
      <c r="B143" s="7"/>
      <c r="C143" s="7"/>
      <c r="D143" s="7" t="s">
        <v>95</v>
      </c>
      <c r="E143" s="29">
        <f t="shared" ca="1" si="37"/>
        <v>4.7478469690320213E-3</v>
      </c>
      <c r="F143" s="29">
        <f t="shared" ca="1" si="37"/>
        <v>1.2080522690942119E-2</v>
      </c>
      <c r="G143" s="29">
        <f t="shared" ca="1" si="37"/>
        <v>2.6560437173110074E-2</v>
      </c>
      <c r="H143" s="29">
        <f t="shared" ca="1" si="37"/>
        <v>5.1569147976268548E-2</v>
      </c>
      <c r="I143" s="29">
        <f t="shared" ca="1" si="37"/>
        <v>8.9941545631012865E-2</v>
      </c>
      <c r="J143" s="29">
        <f t="shared" ca="1" si="37"/>
        <v>0.14289089943622812</v>
      </c>
      <c r="K143" s="29">
        <f t="shared" ca="1" si="37"/>
        <v>0.20924399276039107</v>
      </c>
      <c r="L143" s="29">
        <f t="shared" ca="1" si="37"/>
        <v>0.28535499238826656</v>
      </c>
      <c r="M143" s="29">
        <f t="shared" ca="1" si="37"/>
        <v>0.36577759884653638</v>
      </c>
      <c r="N143" s="29">
        <f t="shared" ca="1" si="37"/>
        <v>0.44444866381634007</v>
      </c>
      <c r="O143" s="29">
        <f t="shared" ca="1" si="37"/>
        <v>0.51594993332770045</v>
      </c>
      <c r="P143" s="29">
        <f t="shared" ca="1" si="37"/>
        <v>0.57644265140441853</v>
      </c>
      <c r="Q143" s="29">
        <f t="shared" ca="1" si="37"/>
        <v>0.62405972125201536</v>
      </c>
      <c r="R143" s="29">
        <f t="shared" ca="1" si="37"/>
        <v>0.6908136129295066</v>
      </c>
      <c r="S143" s="29">
        <f t="shared" ca="1" si="37"/>
        <v>0.71540219654100667</v>
      </c>
      <c r="T143" s="29">
        <f t="shared" ca="1" si="37"/>
        <v>0.73076976595490351</v>
      </c>
      <c r="U143" s="29">
        <f t="shared" ca="1" si="37"/>
        <v>0.73821008648970121</v>
      </c>
      <c r="V143" s="29">
        <f t="shared" ca="1" si="37"/>
        <v>0.73727700711686239</v>
      </c>
      <c r="W143" s="29">
        <f t="shared" ca="1" si="37"/>
        <v>0.73270503603571058</v>
      </c>
      <c r="X143" s="29">
        <f t="shared" ca="1" si="37"/>
        <v>0.72591812593164917</v>
      </c>
      <c r="Y143" s="29">
        <f t="shared" ref="Y143" ca="1" si="44">Y106-Y105</f>
        <v>9.3409526934426879</v>
      </c>
      <c r="Z143" s="7"/>
      <c r="AA143" s="7"/>
      <c r="AB143" s="7"/>
      <c r="AC143" s="7"/>
    </row>
    <row r="144" spans="1:29" customFormat="1">
      <c r="A144" s="7"/>
      <c r="B144" s="7"/>
      <c r="C144" s="7"/>
      <c r="D144" s="7" t="s">
        <v>98</v>
      </c>
      <c r="E144" s="29">
        <f t="shared" ca="1" si="37"/>
        <v>1.1840348106621268E-2</v>
      </c>
      <c r="F144" s="29">
        <f t="shared" ca="1" si="37"/>
        <v>3.0220848828366842E-2</v>
      </c>
      <c r="G144" s="29">
        <f t="shared" ca="1" si="37"/>
        <v>6.6652521166340795E-2</v>
      </c>
      <c r="H144" s="29">
        <f t="shared" ca="1" si="37"/>
        <v>0.12981922696612491</v>
      </c>
      <c r="I144" s="29">
        <f t="shared" ca="1" si="37"/>
        <v>0.22713517508715908</v>
      </c>
      <c r="J144" s="29">
        <f t="shared" ca="1" si="37"/>
        <v>0.36200194875979852</v>
      </c>
      <c r="K144" s="29">
        <f t="shared" ca="1" si="37"/>
        <v>0.53180074790590659</v>
      </c>
      <c r="L144" s="29">
        <f t="shared" ca="1" si="37"/>
        <v>0.72757599138367457</v>
      </c>
      <c r="M144" s="29">
        <f t="shared" ca="1" si="37"/>
        <v>0.93565184110365429</v>
      </c>
      <c r="N144" s="29">
        <f t="shared" ca="1" si="37"/>
        <v>1.1405922764150009</v>
      </c>
      <c r="O144" s="29">
        <f t="shared" ca="1" si="37"/>
        <v>1.3284200103911843</v>
      </c>
      <c r="P144" s="29">
        <f t="shared" ca="1" si="37"/>
        <v>1.489053745345668</v>
      </c>
      <c r="Q144" s="29">
        <f t="shared" ca="1" si="37"/>
        <v>1.6173880959083746</v>
      </c>
      <c r="R144" s="29">
        <f t="shared" ca="1" si="37"/>
        <v>1.8973674595626093</v>
      </c>
      <c r="S144" s="29">
        <f t="shared" ca="1" si="37"/>
        <v>1.9649014162151808</v>
      </c>
      <c r="T144" s="29">
        <f t="shared" ca="1" si="37"/>
        <v>2.004396176086324</v>
      </c>
      <c r="U144" s="29">
        <f t="shared" ca="1" si="37"/>
        <v>2.0240693061423443</v>
      </c>
      <c r="V144" s="29">
        <f t="shared" ca="1" si="37"/>
        <v>2.0233983966232572</v>
      </c>
      <c r="W144" s="29">
        <f t="shared" ca="1" si="37"/>
        <v>2.0088367361450565</v>
      </c>
      <c r="X144" s="29">
        <f t="shared" ca="1" si="37"/>
        <v>1.9890278493281563</v>
      </c>
      <c r="Y144" s="29">
        <f t="shared" ref="Y144" ca="1" si="45">Y107-Y106</f>
        <v>25.401373171687879</v>
      </c>
      <c r="Z144" s="7"/>
      <c r="AA144" s="7"/>
      <c r="AB144" s="7"/>
      <c r="AC144" s="7"/>
    </row>
    <row r="145" spans="1:29" customFormat="1">
      <c r="A145" s="7"/>
      <c r="B145" s="7"/>
      <c r="C145" s="7"/>
      <c r="D145" s="7" t="s">
        <v>101</v>
      </c>
      <c r="E145" s="29">
        <f t="shared" ca="1" si="37"/>
        <v>1.5494565423348483E-3</v>
      </c>
      <c r="F145" s="29">
        <f t="shared" ca="1" si="37"/>
        <v>3.9760092120659785E-3</v>
      </c>
      <c r="G145" s="29">
        <f t="shared" ca="1" si="37"/>
        <v>8.8160865377984177E-3</v>
      </c>
      <c r="H145" s="29">
        <f t="shared" ca="1" si="37"/>
        <v>1.7262732882715737E-2</v>
      </c>
      <c r="I145" s="29">
        <f t="shared" ca="1" si="37"/>
        <v>3.0363994907616654E-2</v>
      </c>
      <c r="J145" s="29">
        <f t="shared" ca="1" si="37"/>
        <v>4.8649916836759122E-2</v>
      </c>
      <c r="K145" s="29">
        <f t="shared" ca="1" si="37"/>
        <v>7.1847142451181512E-2</v>
      </c>
      <c r="L145" s="29">
        <f t="shared" ca="1" si="37"/>
        <v>9.8814560927322326E-2</v>
      </c>
      <c r="M145" s="29">
        <f t="shared" ca="1" si="37"/>
        <v>0.12774136240340361</v>
      </c>
      <c r="N145" s="29">
        <f t="shared" ca="1" si="37"/>
        <v>0.1565362814675435</v>
      </c>
      <c r="O145" s="29">
        <f t="shared" ca="1" si="37"/>
        <v>0.18326517150537036</v>
      </c>
      <c r="P145" s="29">
        <f t="shared" ca="1" si="37"/>
        <v>0.2064940075616164</v>
      </c>
      <c r="Q145" s="29">
        <f t="shared" ca="1" si="37"/>
        <v>0.22545323307029186</v>
      </c>
      <c r="R145" s="29">
        <f t="shared" ca="1" si="37"/>
        <v>0.28773045028306754</v>
      </c>
      <c r="S145" s="29">
        <f t="shared" ca="1" si="37"/>
        <v>0.29797172535494454</v>
      </c>
      <c r="T145" s="29">
        <f t="shared" ca="1" si="37"/>
        <v>0.30340451077752917</v>
      </c>
      <c r="U145" s="29">
        <f t="shared" ca="1" si="37"/>
        <v>0.30623155905903232</v>
      </c>
      <c r="V145" s="29">
        <f t="shared" ca="1" si="37"/>
        <v>0.30651782299316466</v>
      </c>
      <c r="W145" s="29">
        <f t="shared" ca="1" si="37"/>
        <v>0.30389849585141704</v>
      </c>
      <c r="X145" s="29">
        <f t="shared" ca="1" si="37"/>
        <v>0.30065495148974364</v>
      </c>
      <c r="Y145" s="29">
        <f t="shared" ref="Y145" ca="1" si="46">Y108-Y107</f>
        <v>3.7999123391109038</v>
      </c>
      <c r="Z145" s="7"/>
      <c r="AA145" s="7"/>
      <c r="AB145" s="7"/>
      <c r="AC145" s="7"/>
    </row>
    <row r="146" spans="1:29" customFormat="1">
      <c r="A146" s="7"/>
      <c r="B146" s="7"/>
      <c r="C146" s="7"/>
      <c r="D146" s="7" t="s">
        <v>104</v>
      </c>
      <c r="E146" s="29">
        <f t="shared" ca="1" si="37"/>
        <v>0</v>
      </c>
      <c r="F146" s="29">
        <f t="shared" ca="1" si="37"/>
        <v>0</v>
      </c>
      <c r="G146" s="29">
        <f t="shared" ca="1" si="37"/>
        <v>0</v>
      </c>
      <c r="H146" s="29">
        <f t="shared" ca="1" si="37"/>
        <v>0</v>
      </c>
      <c r="I146" s="29">
        <f t="shared" ca="1" si="37"/>
        <v>0</v>
      </c>
      <c r="J146" s="29">
        <f t="shared" ca="1" si="37"/>
        <v>0</v>
      </c>
      <c r="K146" s="29">
        <f t="shared" ca="1" si="37"/>
        <v>0</v>
      </c>
      <c r="L146" s="29">
        <f t="shared" ca="1" si="37"/>
        <v>0</v>
      </c>
      <c r="M146" s="29">
        <f t="shared" ca="1" si="37"/>
        <v>0</v>
      </c>
      <c r="N146" s="29">
        <f t="shared" ca="1" si="37"/>
        <v>0</v>
      </c>
      <c r="O146" s="29">
        <f t="shared" ca="1" si="37"/>
        <v>0</v>
      </c>
      <c r="P146" s="29">
        <f t="shared" ca="1" si="37"/>
        <v>0</v>
      </c>
      <c r="Q146" s="29">
        <f t="shared" ca="1" si="37"/>
        <v>0</v>
      </c>
      <c r="R146" s="29">
        <f t="shared" ca="1" si="37"/>
        <v>0</v>
      </c>
      <c r="S146" s="29">
        <f t="shared" ca="1" si="37"/>
        <v>0</v>
      </c>
      <c r="T146" s="29">
        <f t="shared" ca="1" si="37"/>
        <v>0</v>
      </c>
      <c r="U146" s="29">
        <f t="shared" ca="1" si="37"/>
        <v>0</v>
      </c>
      <c r="V146" s="29">
        <f t="shared" ca="1" si="37"/>
        <v>0</v>
      </c>
      <c r="W146" s="29">
        <f t="shared" ca="1" si="37"/>
        <v>0</v>
      </c>
      <c r="X146" s="29">
        <f t="shared" ca="1" si="37"/>
        <v>0</v>
      </c>
      <c r="Y146" s="29">
        <f t="shared" ref="Y146" ca="1" si="47">Y109-Y108</f>
        <v>0</v>
      </c>
      <c r="Z146" s="7"/>
      <c r="AA146" s="7"/>
      <c r="AB146" s="7"/>
      <c r="AC146" s="7"/>
    </row>
    <row r="147" spans="1:29" customFormat="1">
      <c r="A147" s="7"/>
      <c r="B147" s="7"/>
      <c r="C147" s="7"/>
      <c r="D147" s="7" t="s">
        <v>107</v>
      </c>
      <c r="E147" s="29">
        <f t="shared" ca="1" si="37"/>
        <v>0</v>
      </c>
      <c r="F147" s="29">
        <f t="shared" ref="F147:X160" ca="1" si="48">F110-F109</f>
        <v>0</v>
      </c>
      <c r="G147" s="29">
        <f t="shared" ca="1" si="48"/>
        <v>0</v>
      </c>
      <c r="H147" s="29">
        <f t="shared" ca="1" si="48"/>
        <v>0</v>
      </c>
      <c r="I147" s="29">
        <f t="shared" ca="1" si="48"/>
        <v>0</v>
      </c>
      <c r="J147" s="29">
        <f t="shared" ca="1" si="48"/>
        <v>0</v>
      </c>
      <c r="K147" s="29">
        <f t="shared" ca="1" si="48"/>
        <v>0</v>
      </c>
      <c r="L147" s="29">
        <f t="shared" ca="1" si="48"/>
        <v>0</v>
      </c>
      <c r="M147" s="29">
        <f t="shared" ca="1" si="48"/>
        <v>0</v>
      </c>
      <c r="N147" s="29">
        <f t="shared" ca="1" si="48"/>
        <v>0</v>
      </c>
      <c r="O147" s="29">
        <f t="shared" ca="1" si="48"/>
        <v>0</v>
      </c>
      <c r="P147" s="29">
        <f t="shared" ca="1" si="48"/>
        <v>0</v>
      </c>
      <c r="Q147" s="29">
        <f t="shared" ca="1" si="48"/>
        <v>0</v>
      </c>
      <c r="R147" s="29">
        <f t="shared" ca="1" si="48"/>
        <v>0</v>
      </c>
      <c r="S147" s="29">
        <f t="shared" ca="1" si="48"/>
        <v>0</v>
      </c>
      <c r="T147" s="29">
        <f t="shared" ca="1" si="48"/>
        <v>0</v>
      </c>
      <c r="U147" s="29">
        <f t="shared" ca="1" si="48"/>
        <v>0</v>
      </c>
      <c r="V147" s="29">
        <f t="shared" ca="1" si="48"/>
        <v>0</v>
      </c>
      <c r="W147" s="29">
        <f t="shared" ca="1" si="48"/>
        <v>0</v>
      </c>
      <c r="X147" s="29">
        <f t="shared" ca="1" si="48"/>
        <v>0</v>
      </c>
      <c r="Y147" s="29">
        <f t="shared" ref="Y147" ca="1" si="49">Y110-Y109</f>
        <v>0</v>
      </c>
      <c r="Z147" s="7"/>
      <c r="AA147" s="7"/>
      <c r="AB147" s="7"/>
      <c r="AC147" s="7"/>
    </row>
    <row r="148" spans="1:29" customFormat="1">
      <c r="A148" s="7"/>
      <c r="B148" s="7"/>
      <c r="C148" s="7"/>
      <c r="D148" s="7" t="s">
        <v>110</v>
      </c>
      <c r="E148" s="29">
        <f t="shared" ref="E148:T166" ca="1" si="50">E111-E110</f>
        <v>0</v>
      </c>
      <c r="F148" s="29">
        <f t="shared" ca="1" si="50"/>
        <v>0</v>
      </c>
      <c r="G148" s="29">
        <f t="shared" ca="1" si="50"/>
        <v>0</v>
      </c>
      <c r="H148" s="29">
        <f t="shared" ca="1" si="50"/>
        <v>0</v>
      </c>
      <c r="I148" s="29">
        <f t="shared" ca="1" si="50"/>
        <v>0</v>
      </c>
      <c r="J148" s="29">
        <f t="shared" ca="1" si="50"/>
        <v>0</v>
      </c>
      <c r="K148" s="29">
        <f t="shared" ca="1" si="50"/>
        <v>0</v>
      </c>
      <c r="L148" s="29">
        <f t="shared" ca="1" si="50"/>
        <v>0</v>
      </c>
      <c r="M148" s="29">
        <f t="shared" ca="1" si="50"/>
        <v>0</v>
      </c>
      <c r="N148" s="29">
        <f t="shared" ca="1" si="50"/>
        <v>0</v>
      </c>
      <c r="O148" s="29">
        <f t="shared" ca="1" si="50"/>
        <v>0</v>
      </c>
      <c r="P148" s="29">
        <f t="shared" ca="1" si="50"/>
        <v>0</v>
      </c>
      <c r="Q148" s="29">
        <f t="shared" ca="1" si="50"/>
        <v>0</v>
      </c>
      <c r="R148" s="29">
        <f t="shared" ca="1" si="50"/>
        <v>0</v>
      </c>
      <c r="S148" s="29">
        <f t="shared" ca="1" si="50"/>
        <v>0</v>
      </c>
      <c r="T148" s="29">
        <f t="shared" ca="1" si="50"/>
        <v>0</v>
      </c>
      <c r="U148" s="29">
        <f t="shared" ca="1" si="48"/>
        <v>0</v>
      </c>
      <c r="V148" s="29">
        <f t="shared" ca="1" si="48"/>
        <v>0</v>
      </c>
      <c r="W148" s="29">
        <f t="shared" ca="1" si="48"/>
        <v>0</v>
      </c>
      <c r="X148" s="29">
        <f t="shared" ca="1" si="48"/>
        <v>0</v>
      </c>
      <c r="Y148" s="29">
        <f t="shared" ref="Y148" ca="1" si="51">Y111-Y110</f>
        <v>0</v>
      </c>
      <c r="Z148" s="7"/>
      <c r="AA148" s="7"/>
      <c r="AB148" s="7"/>
      <c r="AC148" s="7"/>
    </row>
    <row r="149" spans="1:29" customFormat="1">
      <c r="A149" s="7"/>
      <c r="B149" s="7"/>
      <c r="C149" s="7"/>
      <c r="D149" s="7" t="s">
        <v>113</v>
      </c>
      <c r="E149" s="29">
        <f t="shared" ca="1" si="50"/>
        <v>0</v>
      </c>
      <c r="F149" s="29">
        <f t="shared" ca="1" si="48"/>
        <v>0</v>
      </c>
      <c r="G149" s="29">
        <f t="shared" ca="1" si="48"/>
        <v>0</v>
      </c>
      <c r="H149" s="29">
        <f t="shared" ca="1" si="48"/>
        <v>0</v>
      </c>
      <c r="I149" s="29">
        <f t="shared" ca="1" si="48"/>
        <v>0</v>
      </c>
      <c r="J149" s="29">
        <f t="shared" ca="1" si="48"/>
        <v>0</v>
      </c>
      <c r="K149" s="29">
        <f t="shared" ca="1" si="48"/>
        <v>0</v>
      </c>
      <c r="L149" s="29">
        <f t="shared" ca="1" si="48"/>
        <v>0</v>
      </c>
      <c r="M149" s="29">
        <f t="shared" ca="1" si="48"/>
        <v>0</v>
      </c>
      <c r="N149" s="29">
        <f t="shared" ca="1" si="48"/>
        <v>0</v>
      </c>
      <c r="O149" s="29">
        <f t="shared" ca="1" si="48"/>
        <v>0</v>
      </c>
      <c r="P149" s="29">
        <f t="shared" ca="1" si="48"/>
        <v>0</v>
      </c>
      <c r="Q149" s="29">
        <f t="shared" ca="1" si="48"/>
        <v>0</v>
      </c>
      <c r="R149" s="29">
        <f t="shared" ca="1" si="48"/>
        <v>0</v>
      </c>
      <c r="S149" s="29">
        <f t="shared" ca="1" si="48"/>
        <v>0</v>
      </c>
      <c r="T149" s="29">
        <f t="shared" ca="1" si="48"/>
        <v>0</v>
      </c>
      <c r="U149" s="29">
        <f t="shared" ca="1" si="48"/>
        <v>0</v>
      </c>
      <c r="V149" s="29">
        <f t="shared" ca="1" si="48"/>
        <v>0</v>
      </c>
      <c r="W149" s="29">
        <f t="shared" ca="1" si="48"/>
        <v>0</v>
      </c>
      <c r="X149" s="29">
        <f t="shared" ca="1" si="48"/>
        <v>0</v>
      </c>
      <c r="Y149" s="29">
        <f t="shared" ref="Y149" ca="1" si="52">Y112-Y111</f>
        <v>0</v>
      </c>
      <c r="Z149" s="7"/>
      <c r="AA149" s="7"/>
      <c r="AB149" s="7"/>
      <c r="AC149" s="7"/>
    </row>
    <row r="150" spans="1:29" customFormat="1">
      <c r="A150" s="7"/>
      <c r="B150" s="7"/>
      <c r="C150" s="7"/>
      <c r="D150" s="7" t="s">
        <v>116</v>
      </c>
      <c r="E150" s="29">
        <f t="shared" ca="1" si="50"/>
        <v>0</v>
      </c>
      <c r="F150" s="29">
        <f t="shared" ca="1" si="48"/>
        <v>0</v>
      </c>
      <c r="G150" s="29">
        <f t="shared" ca="1" si="48"/>
        <v>0</v>
      </c>
      <c r="H150" s="29">
        <f t="shared" ca="1" si="48"/>
        <v>0</v>
      </c>
      <c r="I150" s="29">
        <f t="shared" ca="1" si="48"/>
        <v>0</v>
      </c>
      <c r="J150" s="29">
        <f t="shared" ca="1" si="48"/>
        <v>0</v>
      </c>
      <c r="K150" s="29">
        <f t="shared" ca="1" si="48"/>
        <v>0</v>
      </c>
      <c r="L150" s="29">
        <f t="shared" ca="1" si="48"/>
        <v>0</v>
      </c>
      <c r="M150" s="29">
        <f t="shared" ca="1" si="48"/>
        <v>0</v>
      </c>
      <c r="N150" s="29">
        <f t="shared" ca="1" si="48"/>
        <v>0</v>
      </c>
      <c r="O150" s="29">
        <f t="shared" ca="1" si="48"/>
        <v>0</v>
      </c>
      <c r="P150" s="29">
        <f t="shared" ca="1" si="48"/>
        <v>0</v>
      </c>
      <c r="Q150" s="29">
        <f t="shared" ca="1" si="48"/>
        <v>0</v>
      </c>
      <c r="R150" s="29">
        <f t="shared" ca="1" si="48"/>
        <v>0</v>
      </c>
      <c r="S150" s="29">
        <f t="shared" ca="1" si="48"/>
        <v>0</v>
      </c>
      <c r="T150" s="29">
        <f t="shared" ca="1" si="48"/>
        <v>0</v>
      </c>
      <c r="U150" s="29">
        <f t="shared" ca="1" si="48"/>
        <v>0</v>
      </c>
      <c r="V150" s="29">
        <f t="shared" ca="1" si="48"/>
        <v>0</v>
      </c>
      <c r="W150" s="29">
        <f t="shared" ca="1" si="48"/>
        <v>0</v>
      </c>
      <c r="X150" s="29">
        <f t="shared" ca="1" si="48"/>
        <v>0</v>
      </c>
      <c r="Y150" s="29">
        <f t="shared" ref="Y150" ca="1" si="53">Y113-Y112</f>
        <v>0</v>
      </c>
      <c r="Z150" s="7"/>
      <c r="AA150" s="7"/>
      <c r="AB150" s="7"/>
      <c r="AC150" s="7"/>
    </row>
    <row r="151" spans="1:29" customFormat="1">
      <c r="A151" s="7"/>
      <c r="B151" s="7"/>
      <c r="C151" s="7"/>
      <c r="D151" s="7" t="s">
        <v>119</v>
      </c>
      <c r="E151" s="29">
        <f t="shared" ca="1" si="50"/>
        <v>0</v>
      </c>
      <c r="F151" s="29">
        <f t="shared" ca="1" si="48"/>
        <v>0</v>
      </c>
      <c r="G151" s="29">
        <f t="shared" ca="1" si="48"/>
        <v>0</v>
      </c>
      <c r="H151" s="29">
        <f t="shared" ca="1" si="48"/>
        <v>0</v>
      </c>
      <c r="I151" s="29">
        <f t="shared" ca="1" si="48"/>
        <v>0</v>
      </c>
      <c r="J151" s="29">
        <f t="shared" ca="1" si="48"/>
        <v>0</v>
      </c>
      <c r="K151" s="29">
        <f t="shared" ca="1" si="48"/>
        <v>0</v>
      </c>
      <c r="L151" s="29">
        <f t="shared" ca="1" si="48"/>
        <v>0</v>
      </c>
      <c r="M151" s="29">
        <f t="shared" ca="1" si="48"/>
        <v>0</v>
      </c>
      <c r="N151" s="29">
        <f t="shared" ca="1" si="48"/>
        <v>0</v>
      </c>
      <c r="O151" s="29">
        <f t="shared" ca="1" si="48"/>
        <v>0</v>
      </c>
      <c r="P151" s="29">
        <f t="shared" ca="1" si="48"/>
        <v>0</v>
      </c>
      <c r="Q151" s="29">
        <f t="shared" ca="1" si="48"/>
        <v>0</v>
      </c>
      <c r="R151" s="29">
        <f t="shared" ca="1" si="48"/>
        <v>0</v>
      </c>
      <c r="S151" s="29">
        <f t="shared" ca="1" si="48"/>
        <v>0</v>
      </c>
      <c r="T151" s="29">
        <f t="shared" ca="1" si="48"/>
        <v>0</v>
      </c>
      <c r="U151" s="29">
        <f t="shared" ca="1" si="48"/>
        <v>0</v>
      </c>
      <c r="V151" s="29">
        <f t="shared" ca="1" si="48"/>
        <v>0</v>
      </c>
      <c r="W151" s="29">
        <f t="shared" ca="1" si="48"/>
        <v>0</v>
      </c>
      <c r="X151" s="29">
        <f t="shared" ca="1" si="48"/>
        <v>0</v>
      </c>
      <c r="Y151" s="29">
        <f t="shared" ref="Y151" ca="1" si="54">Y114-Y113</f>
        <v>0</v>
      </c>
      <c r="Z151" s="7"/>
      <c r="AA151" s="7"/>
      <c r="AB151" s="7"/>
      <c r="AC151" s="7"/>
    </row>
    <row r="152" spans="1:29" customFormat="1">
      <c r="A152" s="7"/>
      <c r="B152" s="7"/>
      <c r="C152" s="7"/>
      <c r="D152" s="7" t="s">
        <v>122</v>
      </c>
      <c r="E152" s="29">
        <f t="shared" ca="1" si="50"/>
        <v>0</v>
      </c>
      <c r="F152" s="29">
        <f t="shared" ca="1" si="48"/>
        <v>0</v>
      </c>
      <c r="G152" s="29">
        <f t="shared" ca="1" si="48"/>
        <v>0</v>
      </c>
      <c r="H152" s="29">
        <f t="shared" ca="1" si="48"/>
        <v>0</v>
      </c>
      <c r="I152" s="29">
        <f t="shared" ca="1" si="48"/>
        <v>0</v>
      </c>
      <c r="J152" s="29">
        <f t="shared" ca="1" si="48"/>
        <v>0</v>
      </c>
      <c r="K152" s="29">
        <f t="shared" ca="1" si="48"/>
        <v>0</v>
      </c>
      <c r="L152" s="29">
        <f t="shared" ca="1" si="48"/>
        <v>0</v>
      </c>
      <c r="M152" s="29">
        <f t="shared" ca="1" si="48"/>
        <v>0</v>
      </c>
      <c r="N152" s="29">
        <f t="shared" ca="1" si="48"/>
        <v>0</v>
      </c>
      <c r="O152" s="29">
        <f t="shared" ca="1" si="48"/>
        <v>0</v>
      </c>
      <c r="P152" s="29">
        <f t="shared" ca="1" si="48"/>
        <v>0</v>
      </c>
      <c r="Q152" s="29">
        <f t="shared" ca="1" si="48"/>
        <v>0</v>
      </c>
      <c r="R152" s="29">
        <f t="shared" ca="1" si="48"/>
        <v>0</v>
      </c>
      <c r="S152" s="29">
        <f t="shared" ca="1" si="48"/>
        <v>0</v>
      </c>
      <c r="T152" s="29">
        <f t="shared" ca="1" si="48"/>
        <v>0</v>
      </c>
      <c r="U152" s="29">
        <f t="shared" ca="1" si="48"/>
        <v>0</v>
      </c>
      <c r="V152" s="29">
        <f t="shared" ca="1" si="48"/>
        <v>0</v>
      </c>
      <c r="W152" s="29">
        <f t="shared" ca="1" si="48"/>
        <v>0</v>
      </c>
      <c r="X152" s="29">
        <f t="shared" ca="1" si="48"/>
        <v>0</v>
      </c>
      <c r="Y152" s="29">
        <f t="shared" ref="Y152" ca="1" si="55">Y115-Y114</f>
        <v>0</v>
      </c>
      <c r="Z152" s="7"/>
      <c r="AA152" s="7"/>
      <c r="AB152" s="7"/>
      <c r="AC152" s="7"/>
    </row>
    <row r="153" spans="1:29" customFormat="1">
      <c r="A153" s="7"/>
      <c r="B153" s="7"/>
      <c r="C153" s="7"/>
      <c r="D153" s="7" t="s">
        <v>125</v>
      </c>
      <c r="E153" s="29">
        <f t="shared" ca="1" si="50"/>
        <v>0</v>
      </c>
      <c r="F153" s="29">
        <f t="shared" ca="1" si="48"/>
        <v>0</v>
      </c>
      <c r="G153" s="29">
        <f t="shared" ca="1" si="48"/>
        <v>0</v>
      </c>
      <c r="H153" s="29">
        <f t="shared" ca="1" si="48"/>
        <v>0</v>
      </c>
      <c r="I153" s="29">
        <f t="shared" ca="1" si="48"/>
        <v>0</v>
      </c>
      <c r="J153" s="29">
        <f t="shared" ca="1" si="48"/>
        <v>0</v>
      </c>
      <c r="K153" s="29">
        <f t="shared" ca="1" si="48"/>
        <v>0</v>
      </c>
      <c r="L153" s="29">
        <f t="shared" ca="1" si="48"/>
        <v>0</v>
      </c>
      <c r="M153" s="29">
        <f t="shared" ca="1" si="48"/>
        <v>0</v>
      </c>
      <c r="N153" s="29">
        <f t="shared" ca="1" si="48"/>
        <v>0</v>
      </c>
      <c r="O153" s="29">
        <f t="shared" ca="1" si="48"/>
        <v>0</v>
      </c>
      <c r="P153" s="29">
        <f t="shared" ca="1" si="48"/>
        <v>0</v>
      </c>
      <c r="Q153" s="29">
        <f t="shared" ca="1" si="48"/>
        <v>0</v>
      </c>
      <c r="R153" s="29">
        <f t="shared" ca="1" si="48"/>
        <v>0</v>
      </c>
      <c r="S153" s="29">
        <f t="shared" ca="1" si="48"/>
        <v>0</v>
      </c>
      <c r="T153" s="29">
        <f t="shared" ca="1" si="48"/>
        <v>0</v>
      </c>
      <c r="U153" s="29">
        <f t="shared" ca="1" si="48"/>
        <v>0</v>
      </c>
      <c r="V153" s="29">
        <f t="shared" ca="1" si="48"/>
        <v>0</v>
      </c>
      <c r="W153" s="29">
        <f t="shared" ca="1" si="48"/>
        <v>0</v>
      </c>
      <c r="X153" s="29">
        <f t="shared" ca="1" si="48"/>
        <v>0</v>
      </c>
      <c r="Y153" s="29">
        <f t="shared" ref="Y153" ca="1" si="56">Y116-Y115</f>
        <v>0</v>
      </c>
      <c r="Z153" s="7"/>
      <c r="AA153" s="7"/>
      <c r="AB153" s="7"/>
      <c r="AC153" s="7"/>
    </row>
    <row r="154" spans="1:29" customFormat="1">
      <c r="A154" s="7"/>
      <c r="B154" s="7"/>
      <c r="C154" s="7"/>
      <c r="D154" s="7" t="s">
        <v>128</v>
      </c>
      <c r="E154" s="29">
        <f t="shared" ca="1" si="50"/>
        <v>0</v>
      </c>
      <c r="F154" s="29">
        <f t="shared" ca="1" si="48"/>
        <v>0</v>
      </c>
      <c r="G154" s="29">
        <f t="shared" ca="1" si="48"/>
        <v>0</v>
      </c>
      <c r="H154" s="29">
        <f t="shared" ca="1" si="48"/>
        <v>0</v>
      </c>
      <c r="I154" s="29">
        <f t="shared" ca="1" si="48"/>
        <v>0</v>
      </c>
      <c r="J154" s="29">
        <f t="shared" ca="1" si="48"/>
        <v>0</v>
      </c>
      <c r="K154" s="29">
        <f t="shared" ca="1" si="48"/>
        <v>0</v>
      </c>
      <c r="L154" s="29">
        <f t="shared" ca="1" si="48"/>
        <v>0</v>
      </c>
      <c r="M154" s="29">
        <f t="shared" ca="1" si="48"/>
        <v>0</v>
      </c>
      <c r="N154" s="29">
        <f t="shared" ca="1" si="48"/>
        <v>0</v>
      </c>
      <c r="O154" s="29">
        <f t="shared" ca="1" si="48"/>
        <v>0</v>
      </c>
      <c r="P154" s="29">
        <f t="shared" ca="1" si="48"/>
        <v>0</v>
      </c>
      <c r="Q154" s="29">
        <f t="shared" ca="1" si="48"/>
        <v>0</v>
      </c>
      <c r="R154" s="29">
        <f t="shared" ca="1" si="48"/>
        <v>0</v>
      </c>
      <c r="S154" s="29">
        <f t="shared" ca="1" si="48"/>
        <v>0</v>
      </c>
      <c r="T154" s="29">
        <f t="shared" ca="1" si="48"/>
        <v>0</v>
      </c>
      <c r="U154" s="29">
        <f t="shared" ca="1" si="48"/>
        <v>0</v>
      </c>
      <c r="V154" s="29">
        <f t="shared" ca="1" si="48"/>
        <v>0</v>
      </c>
      <c r="W154" s="29">
        <f t="shared" ca="1" si="48"/>
        <v>0</v>
      </c>
      <c r="X154" s="29">
        <f t="shared" ca="1" si="48"/>
        <v>0</v>
      </c>
      <c r="Y154" s="29">
        <f t="shared" ref="Y154" ca="1" si="57">Y117-Y116</f>
        <v>0</v>
      </c>
      <c r="Z154" s="7"/>
      <c r="AA154" s="7"/>
      <c r="AB154" s="7"/>
      <c r="AC154" s="7"/>
    </row>
    <row r="155" spans="1:29" customFormat="1">
      <c r="A155" s="7"/>
      <c r="B155" s="7"/>
      <c r="C155" s="7"/>
      <c r="D155" s="7" t="s">
        <v>131</v>
      </c>
      <c r="E155" s="29">
        <f t="shared" ca="1" si="50"/>
        <v>0</v>
      </c>
      <c r="F155" s="29">
        <f t="shared" ca="1" si="48"/>
        <v>0</v>
      </c>
      <c r="G155" s="29">
        <f t="shared" ca="1" si="48"/>
        <v>0</v>
      </c>
      <c r="H155" s="29">
        <f t="shared" ca="1" si="48"/>
        <v>0</v>
      </c>
      <c r="I155" s="29">
        <f t="shared" ca="1" si="48"/>
        <v>0</v>
      </c>
      <c r="J155" s="29">
        <f t="shared" ca="1" si="48"/>
        <v>0</v>
      </c>
      <c r="K155" s="29">
        <f t="shared" ca="1" si="48"/>
        <v>0</v>
      </c>
      <c r="L155" s="29">
        <f t="shared" ca="1" si="48"/>
        <v>0</v>
      </c>
      <c r="M155" s="29">
        <f t="shared" ca="1" si="48"/>
        <v>0</v>
      </c>
      <c r="N155" s="29">
        <f t="shared" ca="1" si="48"/>
        <v>0</v>
      </c>
      <c r="O155" s="29">
        <f t="shared" ca="1" si="48"/>
        <v>0</v>
      </c>
      <c r="P155" s="29">
        <f t="shared" ca="1" si="48"/>
        <v>0</v>
      </c>
      <c r="Q155" s="29">
        <f t="shared" ca="1" si="48"/>
        <v>0</v>
      </c>
      <c r="R155" s="29">
        <f t="shared" ca="1" si="48"/>
        <v>0</v>
      </c>
      <c r="S155" s="29">
        <f t="shared" ca="1" si="48"/>
        <v>0</v>
      </c>
      <c r="T155" s="29">
        <f t="shared" ca="1" si="48"/>
        <v>0</v>
      </c>
      <c r="U155" s="29">
        <f t="shared" ca="1" si="48"/>
        <v>0</v>
      </c>
      <c r="V155" s="29">
        <f t="shared" ca="1" si="48"/>
        <v>0</v>
      </c>
      <c r="W155" s="29">
        <f t="shared" ca="1" si="48"/>
        <v>0</v>
      </c>
      <c r="X155" s="29">
        <f t="shared" ca="1" si="48"/>
        <v>0</v>
      </c>
      <c r="Y155" s="29">
        <f t="shared" ref="Y155" ca="1" si="58">Y118-Y117</f>
        <v>0</v>
      </c>
      <c r="Z155" s="7"/>
      <c r="AA155" s="7"/>
      <c r="AB155" s="7"/>
      <c r="AC155" s="7"/>
    </row>
    <row r="156" spans="1:29" customFormat="1">
      <c r="A156" s="7"/>
      <c r="B156" s="7"/>
      <c r="C156" s="7"/>
      <c r="D156" s="7" t="s">
        <v>517</v>
      </c>
      <c r="E156" s="29">
        <f t="shared" ca="1" si="50"/>
        <v>0</v>
      </c>
      <c r="F156" s="29">
        <f t="shared" ca="1" si="48"/>
        <v>0</v>
      </c>
      <c r="G156" s="29">
        <f t="shared" ca="1" si="48"/>
        <v>0</v>
      </c>
      <c r="H156" s="29">
        <f t="shared" ca="1" si="48"/>
        <v>0</v>
      </c>
      <c r="I156" s="29">
        <f t="shared" ca="1" si="48"/>
        <v>0</v>
      </c>
      <c r="J156" s="29">
        <f t="shared" ca="1" si="48"/>
        <v>0</v>
      </c>
      <c r="K156" s="29">
        <f t="shared" ca="1" si="48"/>
        <v>0</v>
      </c>
      <c r="L156" s="29">
        <f t="shared" ca="1" si="48"/>
        <v>0</v>
      </c>
      <c r="M156" s="29">
        <f t="shared" ca="1" si="48"/>
        <v>0</v>
      </c>
      <c r="N156" s="29">
        <f t="shared" ca="1" si="48"/>
        <v>0</v>
      </c>
      <c r="O156" s="29">
        <f t="shared" ca="1" si="48"/>
        <v>0</v>
      </c>
      <c r="P156" s="29">
        <f t="shared" ca="1" si="48"/>
        <v>0</v>
      </c>
      <c r="Q156" s="29">
        <f t="shared" ca="1" si="48"/>
        <v>0</v>
      </c>
      <c r="R156" s="29">
        <f t="shared" ca="1" si="48"/>
        <v>0</v>
      </c>
      <c r="S156" s="29">
        <f t="shared" ca="1" si="48"/>
        <v>0</v>
      </c>
      <c r="T156" s="29">
        <f t="shared" ca="1" si="48"/>
        <v>0</v>
      </c>
      <c r="U156" s="29">
        <f t="shared" ca="1" si="48"/>
        <v>0</v>
      </c>
      <c r="V156" s="29">
        <f t="shared" ca="1" si="48"/>
        <v>0</v>
      </c>
      <c r="W156" s="29">
        <f t="shared" ca="1" si="48"/>
        <v>0</v>
      </c>
      <c r="X156" s="29">
        <f t="shared" ca="1" si="48"/>
        <v>0</v>
      </c>
      <c r="Y156" s="29">
        <f t="shared" ref="Y156" ca="1" si="59">Y119-Y118</f>
        <v>0</v>
      </c>
      <c r="Z156" s="7"/>
      <c r="AA156" s="7"/>
      <c r="AB156" s="7"/>
      <c r="AC156" s="7"/>
    </row>
    <row r="157" spans="1:29" customFormat="1">
      <c r="A157" s="7"/>
      <c r="B157" s="7"/>
      <c r="C157" s="7"/>
      <c r="D157" s="7" t="s">
        <v>518</v>
      </c>
      <c r="E157" s="29">
        <f t="shared" ca="1" si="50"/>
        <v>0</v>
      </c>
      <c r="F157" s="29">
        <f t="shared" ca="1" si="48"/>
        <v>0</v>
      </c>
      <c r="G157" s="29">
        <f t="shared" ca="1" si="48"/>
        <v>0</v>
      </c>
      <c r="H157" s="29">
        <f t="shared" ca="1" si="48"/>
        <v>0</v>
      </c>
      <c r="I157" s="29">
        <f t="shared" ca="1" si="48"/>
        <v>0</v>
      </c>
      <c r="J157" s="29">
        <f t="shared" ca="1" si="48"/>
        <v>0</v>
      </c>
      <c r="K157" s="29">
        <f t="shared" ca="1" si="48"/>
        <v>0</v>
      </c>
      <c r="L157" s="29">
        <f t="shared" ca="1" si="48"/>
        <v>0</v>
      </c>
      <c r="M157" s="29">
        <f t="shared" ca="1" si="48"/>
        <v>0</v>
      </c>
      <c r="N157" s="29">
        <f t="shared" ca="1" si="48"/>
        <v>0</v>
      </c>
      <c r="O157" s="29">
        <f t="shared" ca="1" si="48"/>
        <v>0</v>
      </c>
      <c r="P157" s="29">
        <f t="shared" ca="1" si="48"/>
        <v>0</v>
      </c>
      <c r="Q157" s="29">
        <f t="shared" ca="1" si="48"/>
        <v>0</v>
      </c>
      <c r="R157" s="29">
        <f t="shared" ca="1" si="48"/>
        <v>0</v>
      </c>
      <c r="S157" s="29">
        <f t="shared" ca="1" si="48"/>
        <v>0</v>
      </c>
      <c r="T157" s="29">
        <f t="shared" ca="1" si="48"/>
        <v>0</v>
      </c>
      <c r="U157" s="29">
        <f t="shared" ca="1" si="48"/>
        <v>0</v>
      </c>
      <c r="V157" s="29">
        <f t="shared" ca="1" si="48"/>
        <v>0</v>
      </c>
      <c r="W157" s="29">
        <f t="shared" ca="1" si="48"/>
        <v>0</v>
      </c>
      <c r="X157" s="29">
        <f t="shared" ca="1" si="48"/>
        <v>0</v>
      </c>
      <c r="Y157" s="29">
        <f t="shared" ref="Y157" ca="1" si="60">Y120-Y119</f>
        <v>0</v>
      </c>
      <c r="Z157" s="7"/>
      <c r="AA157" s="7"/>
      <c r="AB157" s="7"/>
      <c r="AC157" s="7"/>
    </row>
    <row r="158" spans="1:29" customFormat="1">
      <c r="A158" s="7"/>
      <c r="B158" s="7"/>
      <c r="C158" s="7"/>
      <c r="D158" s="7" t="s">
        <v>519</v>
      </c>
      <c r="E158" s="29">
        <f t="shared" ca="1" si="50"/>
        <v>0</v>
      </c>
      <c r="F158" s="29">
        <f t="shared" ca="1" si="48"/>
        <v>0</v>
      </c>
      <c r="G158" s="29">
        <f t="shared" ca="1" si="48"/>
        <v>0</v>
      </c>
      <c r="H158" s="29">
        <f t="shared" ca="1" si="48"/>
        <v>0</v>
      </c>
      <c r="I158" s="29">
        <f t="shared" ca="1" si="48"/>
        <v>0</v>
      </c>
      <c r="J158" s="29">
        <f t="shared" ca="1" si="48"/>
        <v>0</v>
      </c>
      <c r="K158" s="29">
        <f t="shared" ca="1" si="48"/>
        <v>0</v>
      </c>
      <c r="L158" s="29">
        <f t="shared" ca="1" si="48"/>
        <v>0</v>
      </c>
      <c r="M158" s="29">
        <f t="shared" ca="1" si="48"/>
        <v>0</v>
      </c>
      <c r="N158" s="29">
        <f t="shared" ca="1" si="48"/>
        <v>0</v>
      </c>
      <c r="O158" s="29">
        <f t="shared" ca="1" si="48"/>
        <v>0</v>
      </c>
      <c r="P158" s="29">
        <f t="shared" ca="1" si="48"/>
        <v>0</v>
      </c>
      <c r="Q158" s="29">
        <f t="shared" ca="1" si="48"/>
        <v>0</v>
      </c>
      <c r="R158" s="29">
        <f t="shared" ca="1" si="48"/>
        <v>0</v>
      </c>
      <c r="S158" s="29">
        <f t="shared" ca="1" si="48"/>
        <v>0</v>
      </c>
      <c r="T158" s="29">
        <f t="shared" ca="1" si="48"/>
        <v>0</v>
      </c>
      <c r="U158" s="29">
        <f t="shared" ca="1" si="48"/>
        <v>0</v>
      </c>
      <c r="V158" s="29">
        <f t="shared" ca="1" si="48"/>
        <v>0</v>
      </c>
      <c r="W158" s="29">
        <f t="shared" ca="1" si="48"/>
        <v>0</v>
      </c>
      <c r="X158" s="29">
        <f t="shared" ca="1" si="48"/>
        <v>0</v>
      </c>
      <c r="Y158" s="29">
        <f t="shared" ref="Y158" ca="1" si="61">Y121-Y120</f>
        <v>0</v>
      </c>
      <c r="Z158" s="7"/>
      <c r="AA158" s="7"/>
      <c r="AB158" s="7"/>
      <c r="AC158" s="7"/>
    </row>
    <row r="159" spans="1:29" customFormat="1">
      <c r="A159" s="7"/>
      <c r="B159" s="7"/>
      <c r="C159" s="7"/>
      <c r="D159" s="7" t="s">
        <v>520</v>
      </c>
      <c r="E159" s="29">
        <f t="shared" ca="1" si="50"/>
        <v>0</v>
      </c>
      <c r="F159" s="29">
        <f t="shared" ca="1" si="48"/>
        <v>0</v>
      </c>
      <c r="G159" s="29">
        <f t="shared" ca="1" si="48"/>
        <v>0</v>
      </c>
      <c r="H159" s="29">
        <f t="shared" ca="1" si="48"/>
        <v>0</v>
      </c>
      <c r="I159" s="29">
        <f t="shared" ca="1" si="48"/>
        <v>0</v>
      </c>
      <c r="J159" s="29">
        <f t="shared" ca="1" si="48"/>
        <v>0</v>
      </c>
      <c r="K159" s="29">
        <f t="shared" ca="1" si="48"/>
        <v>0</v>
      </c>
      <c r="L159" s="29">
        <f t="shared" ca="1" si="48"/>
        <v>0</v>
      </c>
      <c r="M159" s="29">
        <f t="shared" ca="1" si="48"/>
        <v>0</v>
      </c>
      <c r="N159" s="29">
        <f t="shared" ca="1" si="48"/>
        <v>0</v>
      </c>
      <c r="O159" s="29">
        <f t="shared" ca="1" si="48"/>
        <v>0</v>
      </c>
      <c r="P159" s="29">
        <f t="shared" ca="1" si="48"/>
        <v>0</v>
      </c>
      <c r="Q159" s="29">
        <f t="shared" ca="1" si="48"/>
        <v>0</v>
      </c>
      <c r="R159" s="29">
        <f t="shared" ca="1" si="48"/>
        <v>0</v>
      </c>
      <c r="S159" s="29">
        <f t="shared" ca="1" si="48"/>
        <v>0</v>
      </c>
      <c r="T159" s="29">
        <f t="shared" ca="1" si="48"/>
        <v>0</v>
      </c>
      <c r="U159" s="29">
        <f t="shared" ca="1" si="48"/>
        <v>0</v>
      </c>
      <c r="V159" s="29">
        <f t="shared" ca="1" si="48"/>
        <v>0</v>
      </c>
      <c r="W159" s="29">
        <f t="shared" ca="1" si="48"/>
        <v>0</v>
      </c>
      <c r="X159" s="29">
        <f t="shared" ca="1" si="48"/>
        <v>0</v>
      </c>
      <c r="Y159" s="29">
        <f t="shared" ref="Y159" ca="1" si="62">Y122-Y121</f>
        <v>0</v>
      </c>
      <c r="Z159" s="7"/>
      <c r="AA159" s="7"/>
      <c r="AB159" s="7"/>
      <c r="AC159" s="7"/>
    </row>
    <row r="160" spans="1:29" customFormat="1">
      <c r="A160" s="7"/>
      <c r="B160" s="7"/>
      <c r="C160" s="7"/>
      <c r="D160" s="7" t="s">
        <v>521</v>
      </c>
      <c r="E160" s="29">
        <f t="shared" ca="1" si="50"/>
        <v>0</v>
      </c>
      <c r="F160" s="29">
        <f t="shared" ca="1" si="48"/>
        <v>0</v>
      </c>
      <c r="G160" s="29">
        <f t="shared" ca="1" si="48"/>
        <v>0</v>
      </c>
      <c r="H160" s="29">
        <f t="shared" ca="1" si="48"/>
        <v>0</v>
      </c>
      <c r="I160" s="29">
        <f t="shared" ca="1" si="48"/>
        <v>0</v>
      </c>
      <c r="J160" s="29">
        <f t="shared" ca="1" si="48"/>
        <v>0</v>
      </c>
      <c r="K160" s="29">
        <f t="shared" ca="1" si="48"/>
        <v>0</v>
      </c>
      <c r="L160" s="29">
        <f t="shared" ca="1" si="48"/>
        <v>0</v>
      </c>
      <c r="M160" s="29">
        <f t="shared" ca="1" si="48"/>
        <v>0</v>
      </c>
      <c r="N160" s="29">
        <f t="shared" ca="1" si="48"/>
        <v>0</v>
      </c>
      <c r="O160" s="29">
        <f t="shared" ca="1" si="48"/>
        <v>0</v>
      </c>
      <c r="P160" s="29">
        <f t="shared" ref="F160:X166" ca="1" si="63">P123-P122</f>
        <v>0</v>
      </c>
      <c r="Q160" s="29">
        <f t="shared" ca="1" si="63"/>
        <v>0</v>
      </c>
      <c r="R160" s="29">
        <f t="shared" ca="1" si="63"/>
        <v>0</v>
      </c>
      <c r="S160" s="29">
        <f t="shared" ca="1" si="63"/>
        <v>0</v>
      </c>
      <c r="T160" s="29">
        <f t="shared" ca="1" si="63"/>
        <v>0</v>
      </c>
      <c r="U160" s="29">
        <f t="shared" ca="1" si="63"/>
        <v>0</v>
      </c>
      <c r="V160" s="29">
        <f t="shared" ca="1" si="63"/>
        <v>0</v>
      </c>
      <c r="W160" s="29">
        <f t="shared" ca="1" si="63"/>
        <v>0</v>
      </c>
      <c r="X160" s="29">
        <f t="shared" ca="1" si="63"/>
        <v>0</v>
      </c>
      <c r="Y160" s="29">
        <f t="shared" ref="Y160" ca="1" si="64">Y123-Y122</f>
        <v>0</v>
      </c>
      <c r="Z160" s="7"/>
      <c r="AA160" s="7"/>
      <c r="AB160" s="7"/>
      <c r="AC160" s="7"/>
    </row>
    <row r="161" spans="1:29" customFormat="1">
      <c r="A161" s="7"/>
      <c r="B161" s="7"/>
      <c r="C161" s="7"/>
      <c r="D161" s="7" t="s">
        <v>522</v>
      </c>
      <c r="E161" s="29">
        <f t="shared" ca="1" si="50"/>
        <v>0</v>
      </c>
      <c r="F161" s="29">
        <f t="shared" ca="1" si="63"/>
        <v>0</v>
      </c>
      <c r="G161" s="29">
        <f t="shared" ca="1" si="63"/>
        <v>0</v>
      </c>
      <c r="H161" s="29">
        <f t="shared" ca="1" si="63"/>
        <v>0</v>
      </c>
      <c r="I161" s="29">
        <f t="shared" ca="1" si="63"/>
        <v>0</v>
      </c>
      <c r="J161" s="29">
        <f t="shared" ca="1" si="63"/>
        <v>0</v>
      </c>
      <c r="K161" s="29">
        <f t="shared" ca="1" si="63"/>
        <v>0</v>
      </c>
      <c r="L161" s="29">
        <f t="shared" ca="1" si="63"/>
        <v>0</v>
      </c>
      <c r="M161" s="29">
        <f t="shared" ca="1" si="63"/>
        <v>0</v>
      </c>
      <c r="N161" s="29">
        <f t="shared" ca="1" si="63"/>
        <v>0</v>
      </c>
      <c r="O161" s="29">
        <f t="shared" ca="1" si="63"/>
        <v>0</v>
      </c>
      <c r="P161" s="29">
        <f t="shared" ca="1" si="63"/>
        <v>0</v>
      </c>
      <c r="Q161" s="29">
        <f t="shared" ca="1" si="63"/>
        <v>0</v>
      </c>
      <c r="R161" s="29">
        <f t="shared" ca="1" si="63"/>
        <v>0</v>
      </c>
      <c r="S161" s="29">
        <f t="shared" ca="1" si="63"/>
        <v>0</v>
      </c>
      <c r="T161" s="29">
        <f t="shared" ca="1" si="63"/>
        <v>0</v>
      </c>
      <c r="U161" s="29">
        <f t="shared" ca="1" si="63"/>
        <v>0</v>
      </c>
      <c r="V161" s="29">
        <f t="shared" ca="1" si="63"/>
        <v>0</v>
      </c>
      <c r="W161" s="29">
        <f t="shared" ca="1" si="63"/>
        <v>0</v>
      </c>
      <c r="X161" s="29">
        <f t="shared" ca="1" si="63"/>
        <v>0</v>
      </c>
      <c r="Y161" s="29">
        <f t="shared" ref="Y161" ca="1" si="65">Y124-Y123</f>
        <v>0</v>
      </c>
      <c r="Z161" s="7"/>
      <c r="AA161" s="7"/>
      <c r="AB161" s="7"/>
      <c r="AC161" s="7"/>
    </row>
    <row r="162" spans="1:29" customFormat="1">
      <c r="A162" s="7"/>
      <c r="B162" s="7"/>
      <c r="C162" s="7"/>
      <c r="D162" s="7" t="s">
        <v>523</v>
      </c>
      <c r="E162" s="29">
        <f t="shared" ca="1" si="50"/>
        <v>0</v>
      </c>
      <c r="F162" s="29">
        <f t="shared" ca="1" si="63"/>
        <v>0</v>
      </c>
      <c r="G162" s="29">
        <f t="shared" ca="1" si="63"/>
        <v>0</v>
      </c>
      <c r="H162" s="29">
        <f t="shared" ca="1" si="63"/>
        <v>0</v>
      </c>
      <c r="I162" s="29">
        <f t="shared" ca="1" si="63"/>
        <v>0</v>
      </c>
      <c r="J162" s="29">
        <f t="shared" ca="1" si="63"/>
        <v>0</v>
      </c>
      <c r="K162" s="29">
        <f t="shared" ca="1" si="63"/>
        <v>0</v>
      </c>
      <c r="L162" s="29">
        <f t="shared" ca="1" si="63"/>
        <v>0</v>
      </c>
      <c r="M162" s="29">
        <f t="shared" ca="1" si="63"/>
        <v>0</v>
      </c>
      <c r="N162" s="29">
        <f t="shared" ca="1" si="63"/>
        <v>0</v>
      </c>
      <c r="O162" s="29">
        <f t="shared" ca="1" si="63"/>
        <v>0</v>
      </c>
      <c r="P162" s="29">
        <f t="shared" ca="1" si="63"/>
        <v>0</v>
      </c>
      <c r="Q162" s="29">
        <f t="shared" ca="1" si="63"/>
        <v>0</v>
      </c>
      <c r="R162" s="29">
        <f t="shared" ca="1" si="63"/>
        <v>0</v>
      </c>
      <c r="S162" s="29">
        <f t="shared" ca="1" si="63"/>
        <v>0</v>
      </c>
      <c r="T162" s="29">
        <f t="shared" ca="1" si="63"/>
        <v>0</v>
      </c>
      <c r="U162" s="29">
        <f t="shared" ca="1" si="63"/>
        <v>0</v>
      </c>
      <c r="V162" s="29">
        <f t="shared" ca="1" si="63"/>
        <v>0</v>
      </c>
      <c r="W162" s="29">
        <f t="shared" ca="1" si="63"/>
        <v>0</v>
      </c>
      <c r="X162" s="29">
        <f t="shared" ca="1" si="63"/>
        <v>0</v>
      </c>
      <c r="Y162" s="29">
        <f t="shared" ref="Y162" ca="1" si="66">Y125-Y124</f>
        <v>0</v>
      </c>
      <c r="Z162" s="7"/>
      <c r="AA162" s="7"/>
      <c r="AB162" s="7"/>
      <c r="AC162" s="7"/>
    </row>
    <row r="163" spans="1:29" customFormat="1">
      <c r="A163" s="7"/>
      <c r="B163" s="7"/>
      <c r="C163" s="7"/>
      <c r="D163" s="7" t="s">
        <v>524</v>
      </c>
      <c r="E163" s="29">
        <f t="shared" ca="1" si="50"/>
        <v>0</v>
      </c>
      <c r="F163" s="29">
        <f t="shared" ca="1" si="63"/>
        <v>0</v>
      </c>
      <c r="G163" s="29">
        <f t="shared" ca="1" si="63"/>
        <v>0</v>
      </c>
      <c r="H163" s="29">
        <f t="shared" ca="1" si="63"/>
        <v>0</v>
      </c>
      <c r="I163" s="29">
        <f t="shared" ca="1" si="63"/>
        <v>0</v>
      </c>
      <c r="J163" s="29">
        <f t="shared" ca="1" si="63"/>
        <v>0</v>
      </c>
      <c r="K163" s="29">
        <f t="shared" ca="1" si="63"/>
        <v>0</v>
      </c>
      <c r="L163" s="29">
        <f t="shared" ca="1" si="63"/>
        <v>0</v>
      </c>
      <c r="M163" s="29">
        <f t="shared" ca="1" si="63"/>
        <v>0</v>
      </c>
      <c r="N163" s="29">
        <f t="shared" ca="1" si="63"/>
        <v>0</v>
      </c>
      <c r="O163" s="29">
        <f t="shared" ca="1" si="63"/>
        <v>0</v>
      </c>
      <c r="P163" s="29">
        <f t="shared" ca="1" si="63"/>
        <v>0</v>
      </c>
      <c r="Q163" s="29">
        <f t="shared" ca="1" si="63"/>
        <v>0</v>
      </c>
      <c r="R163" s="29">
        <f t="shared" ca="1" si="63"/>
        <v>0</v>
      </c>
      <c r="S163" s="29">
        <f t="shared" ca="1" si="63"/>
        <v>0</v>
      </c>
      <c r="T163" s="29">
        <f t="shared" ca="1" si="63"/>
        <v>0</v>
      </c>
      <c r="U163" s="29">
        <f t="shared" ca="1" si="63"/>
        <v>0</v>
      </c>
      <c r="V163" s="29">
        <f t="shared" ca="1" si="63"/>
        <v>0</v>
      </c>
      <c r="W163" s="29">
        <f t="shared" ca="1" si="63"/>
        <v>0</v>
      </c>
      <c r="X163" s="29">
        <f t="shared" ca="1" si="63"/>
        <v>0</v>
      </c>
      <c r="Y163" s="29">
        <f t="shared" ref="Y163" ca="1" si="67">Y126-Y125</f>
        <v>0</v>
      </c>
      <c r="Z163" s="7"/>
      <c r="AA163" s="7"/>
      <c r="AB163" s="7"/>
      <c r="AC163" s="7"/>
    </row>
    <row r="164" spans="1:29" customFormat="1">
      <c r="A164" s="7"/>
      <c r="B164" s="7"/>
      <c r="C164" s="7"/>
      <c r="D164" s="7" t="s">
        <v>525</v>
      </c>
      <c r="E164" s="29">
        <f t="shared" ca="1" si="50"/>
        <v>0</v>
      </c>
      <c r="F164" s="29">
        <f t="shared" ca="1" si="63"/>
        <v>0</v>
      </c>
      <c r="G164" s="29">
        <f t="shared" ca="1" si="63"/>
        <v>0</v>
      </c>
      <c r="H164" s="29">
        <f t="shared" ca="1" si="63"/>
        <v>0</v>
      </c>
      <c r="I164" s="29">
        <f t="shared" ca="1" si="63"/>
        <v>0</v>
      </c>
      <c r="J164" s="29">
        <f t="shared" ca="1" si="63"/>
        <v>0</v>
      </c>
      <c r="K164" s="29">
        <f t="shared" ca="1" si="63"/>
        <v>0</v>
      </c>
      <c r="L164" s="29">
        <f t="shared" ca="1" si="63"/>
        <v>0</v>
      </c>
      <c r="M164" s="29">
        <f t="shared" ca="1" si="63"/>
        <v>0</v>
      </c>
      <c r="N164" s="29">
        <f t="shared" ca="1" si="63"/>
        <v>0</v>
      </c>
      <c r="O164" s="29">
        <f t="shared" ca="1" si="63"/>
        <v>0</v>
      </c>
      <c r="P164" s="29">
        <f t="shared" ca="1" si="63"/>
        <v>0</v>
      </c>
      <c r="Q164" s="29">
        <f t="shared" ca="1" si="63"/>
        <v>0</v>
      </c>
      <c r="R164" s="29">
        <f t="shared" ca="1" si="63"/>
        <v>0</v>
      </c>
      <c r="S164" s="29">
        <f t="shared" ca="1" si="63"/>
        <v>0</v>
      </c>
      <c r="T164" s="29">
        <f t="shared" ca="1" si="63"/>
        <v>0</v>
      </c>
      <c r="U164" s="29">
        <f t="shared" ca="1" si="63"/>
        <v>0</v>
      </c>
      <c r="V164" s="29">
        <f t="shared" ca="1" si="63"/>
        <v>0</v>
      </c>
      <c r="W164" s="29">
        <f t="shared" ca="1" si="63"/>
        <v>0</v>
      </c>
      <c r="X164" s="29">
        <f t="shared" ca="1" si="63"/>
        <v>0</v>
      </c>
      <c r="Y164" s="29">
        <f t="shared" ref="Y164" ca="1" si="68">Y127-Y126</f>
        <v>0</v>
      </c>
      <c r="Z164" s="7"/>
      <c r="AA164" s="7"/>
      <c r="AB164" s="7"/>
      <c r="AC164" s="7"/>
    </row>
    <row r="165" spans="1:29" customFormat="1">
      <c r="A165" s="7"/>
      <c r="B165" s="7"/>
      <c r="C165" s="7"/>
      <c r="D165" s="7" t="s">
        <v>526</v>
      </c>
      <c r="E165" s="29">
        <f t="shared" ca="1" si="50"/>
        <v>0</v>
      </c>
      <c r="F165" s="29">
        <f t="shared" ca="1" si="63"/>
        <v>0</v>
      </c>
      <c r="G165" s="29">
        <f t="shared" ca="1" si="63"/>
        <v>0</v>
      </c>
      <c r="H165" s="29">
        <f t="shared" ca="1" si="63"/>
        <v>0</v>
      </c>
      <c r="I165" s="29">
        <f t="shared" ca="1" si="63"/>
        <v>0</v>
      </c>
      <c r="J165" s="29">
        <f t="shared" ca="1" si="63"/>
        <v>0</v>
      </c>
      <c r="K165" s="29">
        <f t="shared" ca="1" si="63"/>
        <v>0</v>
      </c>
      <c r="L165" s="29">
        <f t="shared" ca="1" si="63"/>
        <v>0</v>
      </c>
      <c r="M165" s="29">
        <f t="shared" ca="1" si="63"/>
        <v>0</v>
      </c>
      <c r="N165" s="29">
        <f t="shared" ca="1" si="63"/>
        <v>0</v>
      </c>
      <c r="O165" s="29">
        <f t="shared" ca="1" si="63"/>
        <v>0</v>
      </c>
      <c r="P165" s="29">
        <f t="shared" ca="1" si="63"/>
        <v>0</v>
      </c>
      <c r="Q165" s="29">
        <f t="shared" ca="1" si="63"/>
        <v>0</v>
      </c>
      <c r="R165" s="29">
        <f t="shared" ca="1" si="63"/>
        <v>0</v>
      </c>
      <c r="S165" s="29">
        <f t="shared" ca="1" si="63"/>
        <v>0</v>
      </c>
      <c r="T165" s="29">
        <f t="shared" ca="1" si="63"/>
        <v>0</v>
      </c>
      <c r="U165" s="29">
        <f t="shared" ca="1" si="63"/>
        <v>0</v>
      </c>
      <c r="V165" s="29">
        <f t="shared" ca="1" si="63"/>
        <v>0</v>
      </c>
      <c r="W165" s="29">
        <f t="shared" ca="1" si="63"/>
        <v>0</v>
      </c>
      <c r="X165" s="29">
        <f t="shared" ca="1" si="63"/>
        <v>0</v>
      </c>
      <c r="Y165" s="29">
        <f t="shared" ref="Y165" ca="1" si="69">Y128-Y127</f>
        <v>0</v>
      </c>
      <c r="Z165" s="7"/>
      <c r="AA165" s="7"/>
      <c r="AB165" s="7"/>
      <c r="AC165" s="7"/>
    </row>
    <row r="166" spans="1:29" customFormat="1">
      <c r="A166" s="7"/>
      <c r="B166" s="7"/>
      <c r="C166" s="7"/>
      <c r="D166" s="7" t="s">
        <v>527</v>
      </c>
      <c r="E166" s="29">
        <f t="shared" ca="1" si="50"/>
        <v>1.6861230070135652E-2</v>
      </c>
      <c r="F166" s="29">
        <f t="shared" ca="1" si="63"/>
        <v>4.321580170294681E-2</v>
      </c>
      <c r="G166" s="29">
        <f t="shared" ca="1" si="63"/>
        <v>9.5710616342284172E-2</v>
      </c>
      <c r="H166" s="29">
        <f t="shared" ca="1" si="63"/>
        <v>0.1871917096691349</v>
      </c>
      <c r="I166" s="29">
        <f t="shared" ca="1" si="63"/>
        <v>0.32887620710402832</v>
      </c>
      <c r="J166" s="29">
        <f t="shared" ca="1" si="63"/>
        <v>0.52632718556122926</v>
      </c>
      <c r="K166" s="29">
        <f t="shared" ca="1" si="63"/>
        <v>0.77640263904114803</v>
      </c>
      <c r="L166" s="29">
        <f t="shared" ca="1" si="63"/>
        <v>1.0666105532613361</v>
      </c>
      <c r="M166" s="29">
        <f t="shared" ca="1" si="63"/>
        <v>1.3772966959554385</v>
      </c>
      <c r="N166" s="29">
        <f t="shared" ca="1" si="63"/>
        <v>1.6858758365999833</v>
      </c>
      <c r="O166" s="29">
        <f t="shared" ca="1" si="63"/>
        <v>1.9715540156438855</v>
      </c>
      <c r="P166" s="29">
        <f t="shared" ca="1" si="63"/>
        <v>2.2190030589647893</v>
      </c>
      <c r="Q166" s="29">
        <f t="shared" ca="1" si="63"/>
        <v>2.4200934422966505</v>
      </c>
      <c r="R166" s="29">
        <f t="shared" ca="1" si="63"/>
        <v>3.0359291126166532</v>
      </c>
      <c r="S166" s="29">
        <f t="shared" ca="1" si="63"/>
        <v>3.1439879607904757</v>
      </c>
      <c r="T166" s="29">
        <f t="shared" ca="1" si="63"/>
        <v>3.2024696622629953</v>
      </c>
      <c r="U166" s="29">
        <f t="shared" ca="1" si="63"/>
        <v>3.232624206499441</v>
      </c>
      <c r="V166" s="29">
        <f t="shared" ca="1" si="63"/>
        <v>3.2348367123786872</v>
      </c>
      <c r="W166" s="29">
        <f t="shared" ca="1" si="63"/>
        <v>3.2080554401214556</v>
      </c>
      <c r="X166" s="29">
        <f t="shared" ca="1" si="63"/>
        <v>3.1743307296110643</v>
      </c>
      <c r="Y166" s="29">
        <f t="shared" ref="Y166" ca="1" si="70">Y129-Y128</f>
        <v>40.202560063351484</v>
      </c>
      <c r="Z166" s="7"/>
      <c r="AA166" s="7"/>
      <c r="AB166" s="7"/>
      <c r="AC166" s="7"/>
    </row>
    <row r="167" spans="1:29" customForma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row>
    <row r="168" spans="1:29" customFormat="1" ht="15">
      <c r="A168" s="7"/>
      <c r="B168" s="7"/>
      <c r="C168" s="7"/>
      <c r="D168" s="66" t="s">
        <v>138</v>
      </c>
      <c r="E168" s="67">
        <f t="shared" ref="E168:W168" ca="1" si="71">SUM(E135:E166)</f>
        <v>0.12909059149259045</v>
      </c>
      <c r="F168" s="67">
        <f t="shared" ca="1" si="71"/>
        <v>0.33078878796936884</v>
      </c>
      <c r="G168" s="67">
        <f t="shared" ca="1" si="71"/>
        <v>0.73243950434579863</v>
      </c>
      <c r="H168" s="67">
        <f t="shared" ca="1" si="71"/>
        <v>1.4321953748579266</v>
      </c>
      <c r="I168" s="67">
        <f t="shared" ca="1" si="71"/>
        <v>2.51566430185972</v>
      </c>
      <c r="J168" s="67">
        <f t="shared" ca="1" si="71"/>
        <v>4.0251417168770907</v>
      </c>
      <c r="K168" s="67">
        <f t="shared" ca="1" si="71"/>
        <v>5.9363306211839335</v>
      </c>
      <c r="L168" s="67">
        <f t="shared" ca="1" si="71"/>
        <v>8.1534839578547071</v>
      </c>
      <c r="M168" s="67">
        <f t="shared" ca="1" si="71"/>
        <v>10.526201455298132</v>
      </c>
      <c r="N168" s="67">
        <f t="shared" ca="1" si="71"/>
        <v>12.88181754627988</v>
      </c>
      <c r="O168" s="67">
        <f t="shared" ca="1" si="71"/>
        <v>15.061498417204136</v>
      </c>
      <c r="P168" s="67">
        <f t="shared" ca="1" si="71"/>
        <v>16.948290491436421</v>
      </c>
      <c r="Q168" s="67">
        <f t="shared" ca="1" si="71"/>
        <v>18.480307120011293</v>
      </c>
      <c r="R168" s="67">
        <f t="shared" ca="1" si="71"/>
        <v>23.105854252222048</v>
      </c>
      <c r="S168" s="67">
        <f t="shared" ca="1" si="71"/>
        <v>23.928268896318663</v>
      </c>
      <c r="T168" s="67">
        <f t="shared" ca="1" si="71"/>
        <v>24.375087094520705</v>
      </c>
      <c r="U168" s="67">
        <f t="shared" ca="1" si="71"/>
        <v>24.605072093376791</v>
      </c>
      <c r="V168" s="67">
        <f t="shared" ca="1" si="71"/>
        <v>24.620707893136963</v>
      </c>
      <c r="W168" s="67">
        <f t="shared" ca="1" si="71"/>
        <v>24.418155674330887</v>
      </c>
      <c r="X168" s="67">
        <f ca="1">SUM(X135:X166)</f>
        <v>24.162226499169215</v>
      </c>
      <c r="Y168" s="67"/>
      <c r="AA168" s="7"/>
      <c r="AB168" s="7"/>
      <c r="AC168" s="7"/>
    </row>
    <row r="169" spans="1:29" ht="15">
      <c r="D169" s="66" t="s">
        <v>139</v>
      </c>
      <c r="E169" s="67">
        <f ca="1">E168</f>
        <v>0.12909059149259045</v>
      </c>
      <c r="F169" s="67">
        <f t="shared" ref="F169:X169" ca="1" si="72">E169+F168</f>
        <v>0.45987937946195928</v>
      </c>
      <c r="G169" s="67">
        <f t="shared" ca="1" si="72"/>
        <v>1.1923188838077579</v>
      </c>
      <c r="H169" s="67">
        <f t="shared" ca="1" si="72"/>
        <v>2.6245142586656844</v>
      </c>
      <c r="I169" s="67">
        <f t="shared" ca="1" si="72"/>
        <v>5.1401785605254044</v>
      </c>
      <c r="J169" s="67">
        <f t="shared" ca="1" si="72"/>
        <v>9.1653202774024951</v>
      </c>
      <c r="K169" s="67">
        <f t="shared" ca="1" si="72"/>
        <v>15.101650898586428</v>
      </c>
      <c r="L169" s="67">
        <f t="shared" ca="1" si="72"/>
        <v>23.255134856441135</v>
      </c>
      <c r="M169" s="67">
        <f t="shared" ca="1" si="72"/>
        <v>33.781336311739267</v>
      </c>
      <c r="N169" s="67">
        <f t="shared" ca="1" si="72"/>
        <v>46.663153858019143</v>
      </c>
      <c r="O169" s="67">
        <f t="shared" ca="1" si="72"/>
        <v>61.724652275223278</v>
      </c>
      <c r="P169" s="67">
        <f t="shared" ca="1" si="72"/>
        <v>78.672942766659702</v>
      </c>
      <c r="Q169" s="67">
        <f t="shared" ca="1" si="72"/>
        <v>97.153249886670991</v>
      </c>
      <c r="R169" s="67">
        <f t="shared" ca="1" si="72"/>
        <v>120.25910413889304</v>
      </c>
      <c r="S169" s="67">
        <f t="shared" ca="1" si="72"/>
        <v>144.18737303521169</v>
      </c>
      <c r="T169" s="67">
        <f t="shared" ca="1" si="72"/>
        <v>168.56246012973239</v>
      </c>
      <c r="U169" s="67">
        <f t="shared" ca="1" si="72"/>
        <v>193.16753222310916</v>
      </c>
      <c r="V169" s="67">
        <f t="shared" ca="1" si="72"/>
        <v>217.78824011624613</v>
      </c>
      <c r="W169" s="67">
        <f t="shared" ca="1" si="72"/>
        <v>242.20639579057701</v>
      </c>
      <c r="X169" s="67">
        <f t="shared" ca="1" si="72"/>
        <v>266.36862228974621</v>
      </c>
      <c r="Y169" s="67">
        <f ca="1">SUM(Y135:Y166)</f>
        <v>306.1353710246317</v>
      </c>
      <c r="Z169"/>
    </row>
    <row r="170" spans="1:29">
      <c r="E170" s="54"/>
      <c r="F170" s="174"/>
      <c r="G170" s="174"/>
      <c r="H170" s="174"/>
      <c r="I170" s="174"/>
      <c r="J170" s="174"/>
      <c r="K170" s="174"/>
      <c r="L170" s="174"/>
      <c r="M170" s="174"/>
      <c r="N170" s="174"/>
      <c r="O170" s="174"/>
      <c r="P170" s="174"/>
      <c r="Q170" s="174"/>
      <c r="R170" s="174"/>
      <c r="S170" s="174"/>
      <c r="T170" s="174"/>
      <c r="U170" s="174"/>
      <c r="V170" s="174"/>
      <c r="W170" s="174"/>
      <c r="X170" s="174"/>
      <c r="Y170" s="174"/>
      <c r="Z170" s="174"/>
    </row>
    <row r="171" spans="1:29">
      <c r="E171" s="54"/>
      <c r="F171" s="174"/>
      <c r="G171" s="174"/>
      <c r="H171" s="174"/>
      <c r="I171" s="174"/>
      <c r="J171" s="174"/>
      <c r="K171" s="174"/>
      <c r="L171" s="174"/>
      <c r="M171" s="174"/>
      <c r="N171" s="174"/>
      <c r="O171" s="174"/>
      <c r="P171" s="174"/>
      <c r="Q171" s="174"/>
      <c r="R171" s="174"/>
      <c r="S171" s="174"/>
      <c r="T171" s="174"/>
      <c r="U171" s="174"/>
      <c r="V171" s="174"/>
      <c r="W171" s="174"/>
      <c r="X171" s="174"/>
      <c r="Y171" s="174"/>
      <c r="Z171" s="174"/>
    </row>
    <row r="172" spans="1:29" ht="15">
      <c r="A172" s="56" t="str">
        <f>CONCATENATE("ACHIEVABLE SAVINGS - CUMULATIVE BY MILL BIN - FOR MEASURE - ",D173)</f>
        <v>ACHIEVABLE SAVINGS - CUMULATIVE BY MILL BIN - FOR MEASURE - HPWH</v>
      </c>
      <c r="D172" s="7" t="s">
        <v>173</v>
      </c>
      <c r="E172" s="59">
        <f>E133</f>
        <v>2016</v>
      </c>
      <c r="F172" s="60">
        <f t="shared" ref="F172:X172" si="73">F133</f>
        <v>2017</v>
      </c>
      <c r="G172" s="60">
        <f t="shared" si="73"/>
        <v>2018</v>
      </c>
      <c r="H172" s="60">
        <f t="shared" si="73"/>
        <v>2019</v>
      </c>
      <c r="I172" s="60">
        <f t="shared" si="73"/>
        <v>2020</v>
      </c>
      <c r="J172" s="60">
        <f t="shared" si="73"/>
        <v>2021</v>
      </c>
      <c r="K172" s="60">
        <f t="shared" si="73"/>
        <v>2022</v>
      </c>
      <c r="L172" s="60">
        <f t="shared" si="73"/>
        <v>2023</v>
      </c>
      <c r="M172" s="60">
        <f t="shared" si="73"/>
        <v>2024</v>
      </c>
      <c r="N172" s="60">
        <f t="shared" si="73"/>
        <v>2025</v>
      </c>
      <c r="O172" s="60">
        <f t="shared" si="73"/>
        <v>2026</v>
      </c>
      <c r="P172" s="60">
        <f t="shared" si="73"/>
        <v>2027</v>
      </c>
      <c r="Q172" s="60">
        <f t="shared" si="73"/>
        <v>2028</v>
      </c>
      <c r="R172" s="60">
        <f t="shared" si="73"/>
        <v>2029</v>
      </c>
      <c r="S172" s="60">
        <f t="shared" si="73"/>
        <v>2030</v>
      </c>
      <c r="T172" s="60">
        <f t="shared" si="73"/>
        <v>2031</v>
      </c>
      <c r="U172" s="60">
        <f t="shared" si="73"/>
        <v>2032</v>
      </c>
      <c r="V172" s="60">
        <f t="shared" si="73"/>
        <v>2033</v>
      </c>
      <c r="W172" s="60">
        <f t="shared" si="73"/>
        <v>2034</v>
      </c>
      <c r="X172" s="60">
        <f t="shared" si="73"/>
        <v>2035</v>
      </c>
      <c r="Y172" s="61"/>
    </row>
    <row r="173" spans="1:29" ht="15">
      <c r="D173" s="172" t="str">
        <f>$C$8</f>
        <v>HPWH</v>
      </c>
      <c r="E173" s="62" t="str">
        <f>CONCATENATE("aMW_",E$11)</f>
        <v>aMW_2016</v>
      </c>
      <c r="F173" s="63" t="str">
        <f t="shared" ref="F173:X173" si="74">CONCATENATE("aMW_",F$11)</f>
        <v>aMW_2017</v>
      </c>
      <c r="G173" s="63" t="str">
        <f t="shared" si="74"/>
        <v>aMW_2018</v>
      </c>
      <c r="H173" s="63" t="str">
        <f t="shared" si="74"/>
        <v>aMW_2019</v>
      </c>
      <c r="I173" s="63" t="str">
        <f t="shared" si="74"/>
        <v>aMW_2020</v>
      </c>
      <c r="J173" s="63" t="str">
        <f t="shared" si="74"/>
        <v>aMW_2021</v>
      </c>
      <c r="K173" s="63" t="str">
        <f t="shared" si="74"/>
        <v>aMW_2022</v>
      </c>
      <c r="L173" s="63" t="str">
        <f t="shared" si="74"/>
        <v>aMW_2023</v>
      </c>
      <c r="M173" s="63" t="str">
        <f t="shared" si="74"/>
        <v>aMW_2024</v>
      </c>
      <c r="N173" s="63" t="str">
        <f t="shared" si="74"/>
        <v>aMW_2025</v>
      </c>
      <c r="O173" s="63" t="str">
        <f t="shared" si="74"/>
        <v>aMW_2026</v>
      </c>
      <c r="P173" s="63" t="str">
        <f t="shared" si="74"/>
        <v>aMW_2027</v>
      </c>
      <c r="Q173" s="63" t="str">
        <f t="shared" si="74"/>
        <v>aMW_2028</v>
      </c>
      <c r="R173" s="63" t="str">
        <f t="shared" si="74"/>
        <v>aMW_2029</v>
      </c>
      <c r="S173" s="63" t="str">
        <f t="shared" si="74"/>
        <v>aMW_2030</v>
      </c>
      <c r="T173" s="63" t="str">
        <f t="shared" si="74"/>
        <v>aMW_2031</v>
      </c>
      <c r="U173" s="63" t="str">
        <f t="shared" si="74"/>
        <v>aMW_2032</v>
      </c>
      <c r="V173" s="63" t="str">
        <f t="shared" si="74"/>
        <v>aMW_2033</v>
      </c>
      <c r="W173" s="63" t="str">
        <f t="shared" si="74"/>
        <v>aMW_2034</v>
      </c>
      <c r="X173" s="63" t="str">
        <f t="shared" si="74"/>
        <v>aMW_2035</v>
      </c>
      <c r="Y173" s="64"/>
    </row>
    <row r="174" spans="1:29">
      <c r="D174" s="7" t="s">
        <v>71</v>
      </c>
      <c r="E174" s="175">
        <f t="shared" ref="E174:E204" si="75">E135</f>
        <v>0</v>
      </c>
      <c r="F174" s="176">
        <f t="shared" ref="F174:X174" si="76">E174+F135</f>
        <v>0</v>
      </c>
      <c r="G174" s="176">
        <f t="shared" si="76"/>
        <v>0</v>
      </c>
      <c r="H174" s="176">
        <f t="shared" si="76"/>
        <v>0</v>
      </c>
      <c r="I174" s="176">
        <f t="shared" si="76"/>
        <v>0</v>
      </c>
      <c r="J174" s="176">
        <f t="shared" si="76"/>
        <v>0</v>
      </c>
      <c r="K174" s="176">
        <f t="shared" si="76"/>
        <v>0</v>
      </c>
      <c r="L174" s="176">
        <f t="shared" si="76"/>
        <v>0</v>
      </c>
      <c r="M174" s="176">
        <f t="shared" si="76"/>
        <v>0</v>
      </c>
      <c r="N174" s="176">
        <f t="shared" si="76"/>
        <v>0</v>
      </c>
      <c r="O174" s="176">
        <f t="shared" si="76"/>
        <v>0</v>
      </c>
      <c r="P174" s="176">
        <f t="shared" si="76"/>
        <v>0</v>
      </c>
      <c r="Q174" s="176">
        <f t="shared" si="76"/>
        <v>0</v>
      </c>
      <c r="R174" s="176">
        <f t="shared" si="76"/>
        <v>0</v>
      </c>
      <c r="S174" s="176">
        <f t="shared" si="76"/>
        <v>0</v>
      </c>
      <c r="T174" s="176">
        <f t="shared" si="76"/>
        <v>0</v>
      </c>
      <c r="U174" s="176">
        <f t="shared" si="76"/>
        <v>0</v>
      </c>
      <c r="V174" s="176">
        <f t="shared" si="76"/>
        <v>0</v>
      </c>
      <c r="W174" s="176">
        <f t="shared" si="76"/>
        <v>0</v>
      </c>
      <c r="X174" s="176">
        <f t="shared" si="76"/>
        <v>0</v>
      </c>
      <c r="Y174" s="176"/>
    </row>
    <row r="175" spans="1:29">
      <c r="D175" s="7" t="s">
        <v>568</v>
      </c>
      <c r="E175" s="175">
        <f t="shared" si="75"/>
        <v>0</v>
      </c>
      <c r="F175" s="176">
        <f t="shared" ref="F175:X175" si="77">E175+F136</f>
        <v>0</v>
      </c>
      <c r="G175" s="176">
        <f t="shared" si="77"/>
        <v>0</v>
      </c>
      <c r="H175" s="176">
        <f t="shared" si="77"/>
        <v>0</v>
      </c>
      <c r="I175" s="176">
        <f t="shared" si="77"/>
        <v>0</v>
      </c>
      <c r="J175" s="176">
        <f t="shared" si="77"/>
        <v>0</v>
      </c>
      <c r="K175" s="176">
        <f t="shared" si="77"/>
        <v>0</v>
      </c>
      <c r="L175" s="176">
        <f t="shared" si="77"/>
        <v>0</v>
      </c>
      <c r="M175" s="176">
        <f t="shared" si="77"/>
        <v>0</v>
      </c>
      <c r="N175" s="176">
        <f t="shared" si="77"/>
        <v>0</v>
      </c>
      <c r="O175" s="176">
        <f t="shared" si="77"/>
        <v>0</v>
      </c>
      <c r="P175" s="176">
        <f t="shared" si="77"/>
        <v>0</v>
      </c>
      <c r="Q175" s="176">
        <f t="shared" si="77"/>
        <v>0</v>
      </c>
      <c r="R175" s="176">
        <f t="shared" si="77"/>
        <v>0</v>
      </c>
      <c r="S175" s="176">
        <f t="shared" si="77"/>
        <v>0</v>
      </c>
      <c r="T175" s="176">
        <f t="shared" si="77"/>
        <v>0</v>
      </c>
      <c r="U175" s="176">
        <f t="shared" si="77"/>
        <v>0</v>
      </c>
      <c r="V175" s="176">
        <f t="shared" si="77"/>
        <v>0</v>
      </c>
      <c r="W175" s="176">
        <f t="shared" si="77"/>
        <v>0</v>
      </c>
      <c r="X175" s="176">
        <f t="shared" si="77"/>
        <v>0</v>
      </c>
      <c r="Y175" s="176"/>
    </row>
    <row r="176" spans="1:29">
      <c r="D176" s="7" t="s">
        <v>77</v>
      </c>
      <c r="E176" s="175">
        <f t="shared" si="75"/>
        <v>0</v>
      </c>
      <c r="F176" s="176">
        <f t="shared" ref="F176:X176" si="78">E176+F137</f>
        <v>0</v>
      </c>
      <c r="G176" s="176">
        <f t="shared" si="78"/>
        <v>0</v>
      </c>
      <c r="H176" s="176">
        <f t="shared" si="78"/>
        <v>0</v>
      </c>
      <c r="I176" s="176">
        <f t="shared" si="78"/>
        <v>0</v>
      </c>
      <c r="J176" s="176">
        <f t="shared" si="78"/>
        <v>0</v>
      </c>
      <c r="K176" s="176">
        <f t="shared" si="78"/>
        <v>0</v>
      </c>
      <c r="L176" s="176">
        <f t="shared" si="78"/>
        <v>0</v>
      </c>
      <c r="M176" s="176">
        <f t="shared" si="78"/>
        <v>0</v>
      </c>
      <c r="N176" s="176">
        <f t="shared" si="78"/>
        <v>0</v>
      </c>
      <c r="O176" s="176">
        <f t="shared" si="78"/>
        <v>0</v>
      </c>
      <c r="P176" s="176">
        <f t="shared" si="78"/>
        <v>0</v>
      </c>
      <c r="Q176" s="176">
        <f t="shared" si="78"/>
        <v>0</v>
      </c>
      <c r="R176" s="176">
        <f t="shared" si="78"/>
        <v>0</v>
      </c>
      <c r="S176" s="176">
        <f t="shared" si="78"/>
        <v>0</v>
      </c>
      <c r="T176" s="176">
        <f t="shared" si="78"/>
        <v>0</v>
      </c>
      <c r="U176" s="176">
        <f t="shared" si="78"/>
        <v>0</v>
      </c>
      <c r="V176" s="176">
        <f t="shared" si="78"/>
        <v>0</v>
      </c>
      <c r="W176" s="176">
        <f t="shared" si="78"/>
        <v>0</v>
      </c>
      <c r="X176" s="176">
        <f t="shared" si="78"/>
        <v>0</v>
      </c>
      <c r="Y176" s="176"/>
    </row>
    <row r="177" spans="4:25">
      <c r="D177" s="7" t="s">
        <v>80</v>
      </c>
      <c r="E177" s="175">
        <f t="shared" si="75"/>
        <v>0</v>
      </c>
      <c r="F177" s="176">
        <f t="shared" ref="F177:X177" si="79">E177+F138</f>
        <v>0</v>
      </c>
      <c r="G177" s="176">
        <f t="shared" si="79"/>
        <v>0</v>
      </c>
      <c r="H177" s="176">
        <f t="shared" si="79"/>
        <v>0</v>
      </c>
      <c r="I177" s="176">
        <f t="shared" si="79"/>
        <v>0</v>
      </c>
      <c r="J177" s="176">
        <f t="shared" si="79"/>
        <v>0</v>
      </c>
      <c r="K177" s="176">
        <f t="shared" si="79"/>
        <v>0</v>
      </c>
      <c r="L177" s="176">
        <f t="shared" si="79"/>
        <v>0</v>
      </c>
      <c r="M177" s="176">
        <f t="shared" si="79"/>
        <v>0</v>
      </c>
      <c r="N177" s="176">
        <f t="shared" si="79"/>
        <v>0</v>
      </c>
      <c r="O177" s="176">
        <f t="shared" si="79"/>
        <v>0</v>
      </c>
      <c r="P177" s="176">
        <f t="shared" si="79"/>
        <v>0</v>
      </c>
      <c r="Q177" s="176">
        <f t="shared" si="79"/>
        <v>0</v>
      </c>
      <c r="R177" s="176">
        <f t="shared" si="79"/>
        <v>0</v>
      </c>
      <c r="S177" s="176">
        <f t="shared" si="79"/>
        <v>0</v>
      </c>
      <c r="T177" s="176">
        <f t="shared" si="79"/>
        <v>0</v>
      </c>
      <c r="U177" s="176">
        <f t="shared" si="79"/>
        <v>0</v>
      </c>
      <c r="V177" s="176">
        <f t="shared" si="79"/>
        <v>0</v>
      </c>
      <c r="W177" s="176">
        <f t="shared" si="79"/>
        <v>0</v>
      </c>
      <c r="X177" s="176">
        <f t="shared" si="79"/>
        <v>0</v>
      </c>
      <c r="Y177" s="176"/>
    </row>
    <row r="178" spans="4:25">
      <c r="D178" s="7" t="s">
        <v>83</v>
      </c>
      <c r="E178" s="175">
        <f t="shared" si="75"/>
        <v>0</v>
      </c>
      <c r="F178" s="176">
        <f t="shared" ref="F178:X178" si="80">E178+F139</f>
        <v>0</v>
      </c>
      <c r="G178" s="176">
        <f t="shared" si="80"/>
        <v>0</v>
      </c>
      <c r="H178" s="176">
        <f t="shared" si="80"/>
        <v>0</v>
      </c>
      <c r="I178" s="176">
        <f t="shared" si="80"/>
        <v>0</v>
      </c>
      <c r="J178" s="176">
        <f t="shared" si="80"/>
        <v>0</v>
      </c>
      <c r="K178" s="176">
        <f t="shared" si="80"/>
        <v>0</v>
      </c>
      <c r="L178" s="176">
        <f t="shared" si="80"/>
        <v>0</v>
      </c>
      <c r="M178" s="176">
        <f t="shared" si="80"/>
        <v>0</v>
      </c>
      <c r="N178" s="176">
        <f t="shared" si="80"/>
        <v>0</v>
      </c>
      <c r="O178" s="176">
        <f t="shared" si="80"/>
        <v>0</v>
      </c>
      <c r="P178" s="176">
        <f t="shared" si="80"/>
        <v>0</v>
      </c>
      <c r="Q178" s="176">
        <f t="shared" si="80"/>
        <v>0</v>
      </c>
      <c r="R178" s="176">
        <f t="shared" si="80"/>
        <v>0</v>
      </c>
      <c r="S178" s="176">
        <f t="shared" si="80"/>
        <v>0</v>
      </c>
      <c r="T178" s="176">
        <f t="shared" si="80"/>
        <v>0</v>
      </c>
      <c r="U178" s="176">
        <f t="shared" si="80"/>
        <v>0</v>
      </c>
      <c r="V178" s="176">
        <f t="shared" si="80"/>
        <v>0</v>
      </c>
      <c r="W178" s="176">
        <f t="shared" si="80"/>
        <v>0</v>
      </c>
      <c r="X178" s="176">
        <f t="shared" si="80"/>
        <v>0</v>
      </c>
      <c r="Y178" s="176"/>
    </row>
    <row r="179" spans="4:25">
      <c r="D179" s="7" t="s">
        <v>86</v>
      </c>
      <c r="E179" s="175">
        <f t="shared" si="75"/>
        <v>0</v>
      </c>
      <c r="F179" s="176">
        <f t="shared" ref="F179:X179" si="81">E179+F140</f>
        <v>0</v>
      </c>
      <c r="G179" s="176">
        <f t="shared" si="81"/>
        <v>0</v>
      </c>
      <c r="H179" s="176">
        <f t="shared" si="81"/>
        <v>0</v>
      </c>
      <c r="I179" s="176">
        <f t="shared" si="81"/>
        <v>0</v>
      </c>
      <c r="J179" s="176">
        <f t="shared" si="81"/>
        <v>0</v>
      </c>
      <c r="K179" s="176">
        <f t="shared" si="81"/>
        <v>0</v>
      </c>
      <c r="L179" s="176">
        <f t="shared" si="81"/>
        <v>0</v>
      </c>
      <c r="M179" s="176">
        <f t="shared" si="81"/>
        <v>0</v>
      </c>
      <c r="N179" s="176">
        <f t="shared" si="81"/>
        <v>0</v>
      </c>
      <c r="O179" s="176">
        <f t="shared" si="81"/>
        <v>0</v>
      </c>
      <c r="P179" s="176">
        <f t="shared" si="81"/>
        <v>0</v>
      </c>
      <c r="Q179" s="176">
        <f t="shared" si="81"/>
        <v>0</v>
      </c>
      <c r="R179" s="176">
        <f t="shared" si="81"/>
        <v>0</v>
      </c>
      <c r="S179" s="176">
        <f t="shared" si="81"/>
        <v>0</v>
      </c>
      <c r="T179" s="176">
        <f t="shared" si="81"/>
        <v>0</v>
      </c>
      <c r="U179" s="176">
        <f t="shared" si="81"/>
        <v>0</v>
      </c>
      <c r="V179" s="176">
        <f t="shared" si="81"/>
        <v>0</v>
      </c>
      <c r="W179" s="176">
        <f t="shared" si="81"/>
        <v>0</v>
      </c>
      <c r="X179" s="176">
        <f t="shared" si="81"/>
        <v>0</v>
      </c>
      <c r="Y179" s="176"/>
    </row>
    <row r="180" spans="4:25">
      <c r="D180" s="7" t="s">
        <v>89</v>
      </c>
      <c r="E180" s="175">
        <f t="shared" si="75"/>
        <v>0</v>
      </c>
      <c r="F180" s="176">
        <f t="shared" ref="F180:X180" si="82">E180+F141</f>
        <v>0</v>
      </c>
      <c r="G180" s="176">
        <f t="shared" si="82"/>
        <v>0</v>
      </c>
      <c r="H180" s="176">
        <f t="shared" si="82"/>
        <v>0</v>
      </c>
      <c r="I180" s="176">
        <f t="shared" si="82"/>
        <v>0</v>
      </c>
      <c r="J180" s="176">
        <f t="shared" si="82"/>
        <v>0</v>
      </c>
      <c r="K180" s="176">
        <f t="shared" si="82"/>
        <v>0</v>
      </c>
      <c r="L180" s="176">
        <f t="shared" si="82"/>
        <v>0</v>
      </c>
      <c r="M180" s="176">
        <f t="shared" si="82"/>
        <v>0</v>
      </c>
      <c r="N180" s="176">
        <f t="shared" si="82"/>
        <v>0</v>
      </c>
      <c r="O180" s="176">
        <f t="shared" si="82"/>
        <v>0</v>
      </c>
      <c r="P180" s="176">
        <f t="shared" si="82"/>
        <v>0</v>
      </c>
      <c r="Q180" s="176">
        <f t="shared" si="82"/>
        <v>0</v>
      </c>
      <c r="R180" s="176">
        <f t="shared" si="82"/>
        <v>0</v>
      </c>
      <c r="S180" s="176">
        <f t="shared" si="82"/>
        <v>0</v>
      </c>
      <c r="T180" s="176">
        <f t="shared" si="82"/>
        <v>0</v>
      </c>
      <c r="U180" s="176">
        <f t="shared" si="82"/>
        <v>0</v>
      </c>
      <c r="V180" s="176">
        <f t="shared" si="82"/>
        <v>0</v>
      </c>
      <c r="W180" s="176">
        <f t="shared" si="82"/>
        <v>0</v>
      </c>
      <c r="X180" s="176">
        <f t="shared" si="82"/>
        <v>0</v>
      </c>
      <c r="Y180" s="176"/>
    </row>
    <row r="181" spans="4:25">
      <c r="D181" s="7" t="s">
        <v>92</v>
      </c>
      <c r="E181" s="175">
        <f t="shared" ca="1" si="75"/>
        <v>9.4091709804466656E-2</v>
      </c>
      <c r="F181" s="176">
        <f t="shared" ref="F181:X181" ca="1" si="83">E181+F142</f>
        <v>0.33538731533951371</v>
      </c>
      <c r="G181" s="176">
        <f t="shared" ca="1" si="83"/>
        <v>0.87008715846577889</v>
      </c>
      <c r="H181" s="176">
        <f t="shared" ca="1" si="83"/>
        <v>1.9164397158294615</v>
      </c>
      <c r="I181" s="176">
        <f t="shared" ca="1" si="83"/>
        <v>3.7557870949593646</v>
      </c>
      <c r="J181" s="176">
        <f t="shared" ca="1" si="83"/>
        <v>6.7010588612424407</v>
      </c>
      <c r="K181" s="176">
        <f t="shared" ca="1" si="83"/>
        <v>11.048094960267747</v>
      </c>
      <c r="L181" s="176">
        <f t="shared" ca="1" si="83"/>
        <v>17.023222820161855</v>
      </c>
      <c r="M181" s="176">
        <f t="shared" ca="1" si="83"/>
        <v>24.742956777150955</v>
      </c>
      <c r="N181" s="176">
        <f t="shared" ca="1" si="83"/>
        <v>34.197321265131968</v>
      </c>
      <c r="O181" s="176">
        <f t="shared" ca="1" si="83"/>
        <v>45.259630551467964</v>
      </c>
      <c r="P181" s="176">
        <f t="shared" ca="1" si="83"/>
        <v>57.716927579627892</v>
      </c>
      <c r="Q181" s="176">
        <f t="shared" ca="1" si="83"/>
        <v>71.31024020711186</v>
      </c>
      <c r="R181" s="176">
        <f t="shared" ca="1" si="83"/>
        <v>88.504253823942065</v>
      </c>
      <c r="S181" s="176">
        <f t="shared" ca="1" si="83"/>
        <v>106.31025942135912</v>
      </c>
      <c r="T181" s="176">
        <f t="shared" ca="1" si="83"/>
        <v>124.44430640079807</v>
      </c>
      <c r="U181" s="176">
        <f t="shared" ca="1" si="83"/>
        <v>142.74824333598434</v>
      </c>
      <c r="V181" s="176">
        <f t="shared" ca="1" si="83"/>
        <v>161.06692129000933</v>
      </c>
      <c r="W181" s="176">
        <f t="shared" ca="1" si="83"/>
        <v>179.23158125618659</v>
      </c>
      <c r="X181" s="176">
        <f t="shared" ca="1" si="83"/>
        <v>197.20387609899518</v>
      </c>
      <c r="Y181" s="176"/>
    </row>
    <row r="182" spans="4:25">
      <c r="D182" s="7" t="s">
        <v>95</v>
      </c>
      <c r="E182" s="175">
        <f t="shared" ca="1" si="75"/>
        <v>4.7478469690320213E-3</v>
      </c>
      <c r="F182" s="176">
        <f t="shared" ref="F182:X182" ca="1" si="84">E182+F143</f>
        <v>1.6828369659974141E-2</v>
      </c>
      <c r="G182" s="176">
        <f t="shared" ca="1" si="84"/>
        <v>4.3388806833084215E-2</v>
      </c>
      <c r="H182" s="176">
        <f t="shared" ca="1" si="84"/>
        <v>9.4957954809352763E-2</v>
      </c>
      <c r="I182" s="176">
        <f t="shared" ca="1" si="84"/>
        <v>0.18489950044036563</v>
      </c>
      <c r="J182" s="176">
        <f t="shared" ca="1" si="84"/>
        <v>0.32779039987659375</v>
      </c>
      <c r="K182" s="176">
        <f t="shared" ca="1" si="84"/>
        <v>0.53703439263698483</v>
      </c>
      <c r="L182" s="176">
        <f t="shared" ca="1" si="84"/>
        <v>0.82238938502525138</v>
      </c>
      <c r="M182" s="176">
        <f t="shared" ca="1" si="84"/>
        <v>1.1881669838717879</v>
      </c>
      <c r="N182" s="176">
        <f t="shared" ca="1" si="84"/>
        <v>1.6326156476881279</v>
      </c>
      <c r="O182" s="176">
        <f t="shared" ca="1" si="84"/>
        <v>2.1485655810158284</v>
      </c>
      <c r="P182" s="176">
        <f t="shared" ca="1" si="84"/>
        <v>2.7250082324202469</v>
      </c>
      <c r="Q182" s="176">
        <f t="shared" ca="1" si="84"/>
        <v>3.3490679536722623</v>
      </c>
      <c r="R182" s="176">
        <f t="shared" ca="1" si="84"/>
        <v>4.0398815666017693</v>
      </c>
      <c r="S182" s="176">
        <f t="shared" ca="1" si="84"/>
        <v>4.755283763142776</v>
      </c>
      <c r="T182" s="176">
        <f t="shared" ca="1" si="84"/>
        <v>5.4860535290976795</v>
      </c>
      <c r="U182" s="176">
        <f t="shared" ca="1" si="84"/>
        <v>6.2242636155873807</v>
      </c>
      <c r="V182" s="176">
        <f t="shared" ca="1" si="84"/>
        <v>6.9615406227042431</v>
      </c>
      <c r="W182" s="176">
        <f t="shared" ca="1" si="84"/>
        <v>7.6942456587399537</v>
      </c>
      <c r="X182" s="176">
        <f t="shared" ca="1" si="84"/>
        <v>8.4201637846716029</v>
      </c>
      <c r="Y182" s="176"/>
    </row>
    <row r="183" spans="4:25">
      <c r="D183" s="7" t="s">
        <v>98</v>
      </c>
      <c r="E183" s="175">
        <f t="shared" ca="1" si="75"/>
        <v>1.1840348106621268E-2</v>
      </c>
      <c r="F183" s="176">
        <f t="shared" ref="F183:X183" ca="1" si="85">E183+F144</f>
        <v>4.206119693498811E-2</v>
      </c>
      <c r="G183" s="176">
        <f t="shared" ca="1" si="85"/>
        <v>0.1087137181013289</v>
      </c>
      <c r="H183" s="176">
        <f t="shared" ca="1" si="85"/>
        <v>0.23853294506745382</v>
      </c>
      <c r="I183" s="176">
        <f t="shared" ca="1" si="85"/>
        <v>0.4656681201546129</v>
      </c>
      <c r="J183" s="176">
        <f t="shared" ca="1" si="85"/>
        <v>0.82767006891441142</v>
      </c>
      <c r="K183" s="176">
        <f t="shared" ca="1" si="85"/>
        <v>1.359470816820318</v>
      </c>
      <c r="L183" s="176">
        <f t="shared" ca="1" si="85"/>
        <v>2.0870468082039926</v>
      </c>
      <c r="M183" s="176">
        <f t="shared" ca="1" si="85"/>
        <v>3.0226986493076469</v>
      </c>
      <c r="N183" s="176">
        <f t="shared" ca="1" si="85"/>
        <v>4.1632909257226478</v>
      </c>
      <c r="O183" s="176">
        <f t="shared" ca="1" si="85"/>
        <v>5.4917109361138321</v>
      </c>
      <c r="P183" s="176">
        <f t="shared" ca="1" si="85"/>
        <v>6.9807646814595001</v>
      </c>
      <c r="Q183" s="176">
        <f t="shared" ca="1" si="85"/>
        <v>8.5981527773678756</v>
      </c>
      <c r="R183" s="176">
        <f t="shared" ca="1" si="85"/>
        <v>10.495520236930485</v>
      </c>
      <c r="S183" s="176">
        <f t="shared" ca="1" si="85"/>
        <v>12.460421653145666</v>
      </c>
      <c r="T183" s="176">
        <f t="shared" ca="1" si="85"/>
        <v>14.46481782923199</v>
      </c>
      <c r="U183" s="176">
        <f t="shared" ca="1" si="85"/>
        <v>16.488887135374334</v>
      </c>
      <c r="V183" s="176">
        <f t="shared" ca="1" si="85"/>
        <v>18.512285531997591</v>
      </c>
      <c r="W183" s="176">
        <f t="shared" ca="1" si="85"/>
        <v>20.521122268142648</v>
      </c>
      <c r="X183" s="176">
        <f t="shared" ca="1" si="85"/>
        <v>22.510150117470804</v>
      </c>
      <c r="Y183" s="176"/>
    </row>
    <row r="184" spans="4:25">
      <c r="D184" s="7" t="s">
        <v>101</v>
      </c>
      <c r="E184" s="175">
        <f t="shared" ca="1" si="75"/>
        <v>1.5494565423348483E-3</v>
      </c>
      <c r="F184" s="176">
        <f t="shared" ref="F184:X184" ca="1" si="86">E184+F145</f>
        <v>5.5254657544008268E-3</v>
      </c>
      <c r="G184" s="176">
        <f t="shared" ca="1" si="86"/>
        <v>1.4341552292199244E-2</v>
      </c>
      <c r="H184" s="176">
        <f t="shared" ca="1" si="86"/>
        <v>3.1604285174914981E-2</v>
      </c>
      <c r="I184" s="176">
        <f t="shared" ca="1" si="86"/>
        <v>6.1968280082531635E-2</v>
      </c>
      <c r="J184" s="176">
        <f t="shared" ca="1" si="86"/>
        <v>0.11061819691929076</v>
      </c>
      <c r="K184" s="176">
        <f t="shared" ca="1" si="86"/>
        <v>0.18246533937047227</v>
      </c>
      <c r="L184" s="176">
        <f t="shared" ca="1" si="86"/>
        <v>0.28127990029779459</v>
      </c>
      <c r="M184" s="176">
        <f t="shared" ca="1" si="86"/>
        <v>0.40902126270119821</v>
      </c>
      <c r="N184" s="176">
        <f t="shared" ca="1" si="86"/>
        <v>0.56555754416874171</v>
      </c>
      <c r="O184" s="176">
        <f t="shared" ca="1" si="86"/>
        <v>0.74882271567411207</v>
      </c>
      <c r="P184" s="176">
        <f t="shared" ca="1" si="86"/>
        <v>0.95531672323572847</v>
      </c>
      <c r="Q184" s="176">
        <f t="shared" ca="1" si="86"/>
        <v>1.1807699563060203</v>
      </c>
      <c r="R184" s="176">
        <f t="shared" ca="1" si="86"/>
        <v>1.4685004065890879</v>
      </c>
      <c r="S184" s="176">
        <f t="shared" ca="1" si="86"/>
        <v>1.7664721319440324</v>
      </c>
      <c r="T184" s="176">
        <f t="shared" ca="1" si="86"/>
        <v>2.0698766427215616</v>
      </c>
      <c r="U184" s="176">
        <f t="shared" ca="1" si="86"/>
        <v>2.3761082017805939</v>
      </c>
      <c r="V184" s="176">
        <f t="shared" ca="1" si="86"/>
        <v>2.6826260247737586</v>
      </c>
      <c r="W184" s="176">
        <f t="shared" ca="1" si="86"/>
        <v>2.9865245206251756</v>
      </c>
      <c r="X184" s="176">
        <f t="shared" ca="1" si="86"/>
        <v>3.2871794721149192</v>
      </c>
      <c r="Y184" s="176"/>
    </row>
    <row r="185" spans="4:25">
      <c r="D185" s="7" t="s">
        <v>104</v>
      </c>
      <c r="E185" s="175">
        <f t="shared" ca="1" si="75"/>
        <v>0</v>
      </c>
      <c r="F185" s="176">
        <f t="shared" ref="F185:X185" ca="1" si="87">E185+F146</f>
        <v>0</v>
      </c>
      <c r="G185" s="176">
        <f t="shared" ca="1" si="87"/>
        <v>0</v>
      </c>
      <c r="H185" s="176">
        <f t="shared" ca="1" si="87"/>
        <v>0</v>
      </c>
      <c r="I185" s="176">
        <f t="shared" ca="1" si="87"/>
        <v>0</v>
      </c>
      <c r="J185" s="176">
        <f t="shared" ca="1" si="87"/>
        <v>0</v>
      </c>
      <c r="K185" s="176">
        <f t="shared" ca="1" si="87"/>
        <v>0</v>
      </c>
      <c r="L185" s="176">
        <f t="shared" ca="1" si="87"/>
        <v>0</v>
      </c>
      <c r="M185" s="176">
        <f t="shared" ca="1" si="87"/>
        <v>0</v>
      </c>
      <c r="N185" s="176">
        <f t="shared" ca="1" si="87"/>
        <v>0</v>
      </c>
      <c r="O185" s="176">
        <f t="shared" ca="1" si="87"/>
        <v>0</v>
      </c>
      <c r="P185" s="176">
        <f t="shared" ca="1" si="87"/>
        <v>0</v>
      </c>
      <c r="Q185" s="176">
        <f t="shared" ca="1" si="87"/>
        <v>0</v>
      </c>
      <c r="R185" s="176">
        <f t="shared" ca="1" si="87"/>
        <v>0</v>
      </c>
      <c r="S185" s="176">
        <f t="shared" ca="1" si="87"/>
        <v>0</v>
      </c>
      <c r="T185" s="176">
        <f t="shared" ca="1" si="87"/>
        <v>0</v>
      </c>
      <c r="U185" s="176">
        <f t="shared" ca="1" si="87"/>
        <v>0</v>
      </c>
      <c r="V185" s="176">
        <f t="shared" ca="1" si="87"/>
        <v>0</v>
      </c>
      <c r="W185" s="176">
        <f t="shared" ca="1" si="87"/>
        <v>0</v>
      </c>
      <c r="X185" s="176">
        <f t="shared" ca="1" si="87"/>
        <v>0</v>
      </c>
      <c r="Y185" s="176"/>
    </row>
    <row r="186" spans="4:25">
      <c r="D186" s="7" t="s">
        <v>107</v>
      </c>
      <c r="E186" s="175">
        <f t="shared" ca="1" si="75"/>
        <v>0</v>
      </c>
      <c r="F186" s="176">
        <f t="shared" ref="F186:X186" ca="1" si="88">E186+F147</f>
        <v>0</v>
      </c>
      <c r="G186" s="176">
        <f t="shared" ca="1" si="88"/>
        <v>0</v>
      </c>
      <c r="H186" s="176">
        <f t="shared" ca="1" si="88"/>
        <v>0</v>
      </c>
      <c r="I186" s="176">
        <f t="shared" ca="1" si="88"/>
        <v>0</v>
      </c>
      <c r="J186" s="176">
        <f t="shared" ca="1" si="88"/>
        <v>0</v>
      </c>
      <c r="K186" s="176">
        <f t="shared" ca="1" si="88"/>
        <v>0</v>
      </c>
      <c r="L186" s="176">
        <f t="shared" ca="1" si="88"/>
        <v>0</v>
      </c>
      <c r="M186" s="176">
        <f t="shared" ca="1" si="88"/>
        <v>0</v>
      </c>
      <c r="N186" s="176">
        <f t="shared" ca="1" si="88"/>
        <v>0</v>
      </c>
      <c r="O186" s="176">
        <f t="shared" ca="1" si="88"/>
        <v>0</v>
      </c>
      <c r="P186" s="176">
        <f t="shared" ca="1" si="88"/>
        <v>0</v>
      </c>
      <c r="Q186" s="176">
        <f t="shared" ca="1" si="88"/>
        <v>0</v>
      </c>
      <c r="R186" s="176">
        <f t="shared" ca="1" si="88"/>
        <v>0</v>
      </c>
      <c r="S186" s="176">
        <f t="shared" ca="1" si="88"/>
        <v>0</v>
      </c>
      <c r="T186" s="176">
        <f t="shared" ca="1" si="88"/>
        <v>0</v>
      </c>
      <c r="U186" s="176">
        <f t="shared" ca="1" si="88"/>
        <v>0</v>
      </c>
      <c r="V186" s="176">
        <f t="shared" ca="1" si="88"/>
        <v>0</v>
      </c>
      <c r="W186" s="176">
        <f t="shared" ca="1" si="88"/>
        <v>0</v>
      </c>
      <c r="X186" s="176">
        <f t="shared" ca="1" si="88"/>
        <v>0</v>
      </c>
      <c r="Y186" s="176"/>
    </row>
    <row r="187" spans="4:25">
      <c r="D187" s="7" t="s">
        <v>110</v>
      </c>
      <c r="E187" s="175">
        <f t="shared" ca="1" si="75"/>
        <v>0</v>
      </c>
      <c r="F187" s="176">
        <f t="shared" ref="F187:X187" ca="1" si="89">E187+F148</f>
        <v>0</v>
      </c>
      <c r="G187" s="176">
        <f t="shared" ca="1" si="89"/>
        <v>0</v>
      </c>
      <c r="H187" s="176">
        <f t="shared" ca="1" si="89"/>
        <v>0</v>
      </c>
      <c r="I187" s="176">
        <f t="shared" ca="1" si="89"/>
        <v>0</v>
      </c>
      <c r="J187" s="176">
        <f t="shared" ca="1" si="89"/>
        <v>0</v>
      </c>
      <c r="K187" s="176">
        <f t="shared" ca="1" si="89"/>
        <v>0</v>
      </c>
      <c r="L187" s="176">
        <f t="shared" ca="1" si="89"/>
        <v>0</v>
      </c>
      <c r="M187" s="176">
        <f t="shared" ca="1" si="89"/>
        <v>0</v>
      </c>
      <c r="N187" s="176">
        <f t="shared" ca="1" si="89"/>
        <v>0</v>
      </c>
      <c r="O187" s="176">
        <f t="shared" ca="1" si="89"/>
        <v>0</v>
      </c>
      <c r="P187" s="176">
        <f t="shared" ca="1" si="89"/>
        <v>0</v>
      </c>
      <c r="Q187" s="176">
        <f t="shared" ca="1" si="89"/>
        <v>0</v>
      </c>
      <c r="R187" s="176">
        <f t="shared" ca="1" si="89"/>
        <v>0</v>
      </c>
      <c r="S187" s="176">
        <f t="shared" ca="1" si="89"/>
        <v>0</v>
      </c>
      <c r="T187" s="176">
        <f t="shared" ca="1" si="89"/>
        <v>0</v>
      </c>
      <c r="U187" s="176">
        <f t="shared" ca="1" si="89"/>
        <v>0</v>
      </c>
      <c r="V187" s="176">
        <f t="shared" ca="1" si="89"/>
        <v>0</v>
      </c>
      <c r="W187" s="176">
        <f t="shared" ca="1" si="89"/>
        <v>0</v>
      </c>
      <c r="X187" s="176">
        <f t="shared" ca="1" si="89"/>
        <v>0</v>
      </c>
      <c r="Y187" s="176"/>
    </row>
    <row r="188" spans="4:25">
      <c r="D188" s="7" t="s">
        <v>113</v>
      </c>
      <c r="E188" s="175">
        <f t="shared" ca="1" si="75"/>
        <v>0</v>
      </c>
      <c r="F188" s="176">
        <f t="shared" ref="F188:X188" ca="1" si="90">E188+F149</f>
        <v>0</v>
      </c>
      <c r="G188" s="176">
        <f t="shared" ca="1" si="90"/>
        <v>0</v>
      </c>
      <c r="H188" s="176">
        <f t="shared" ca="1" si="90"/>
        <v>0</v>
      </c>
      <c r="I188" s="176">
        <f t="shared" ca="1" si="90"/>
        <v>0</v>
      </c>
      <c r="J188" s="176">
        <f t="shared" ca="1" si="90"/>
        <v>0</v>
      </c>
      <c r="K188" s="176">
        <f t="shared" ca="1" si="90"/>
        <v>0</v>
      </c>
      <c r="L188" s="176">
        <f t="shared" ca="1" si="90"/>
        <v>0</v>
      </c>
      <c r="M188" s="176">
        <f t="shared" ca="1" si="90"/>
        <v>0</v>
      </c>
      <c r="N188" s="176">
        <f t="shared" ca="1" si="90"/>
        <v>0</v>
      </c>
      <c r="O188" s="176">
        <f t="shared" ca="1" si="90"/>
        <v>0</v>
      </c>
      <c r="P188" s="176">
        <f t="shared" ca="1" si="90"/>
        <v>0</v>
      </c>
      <c r="Q188" s="176">
        <f t="shared" ca="1" si="90"/>
        <v>0</v>
      </c>
      <c r="R188" s="176">
        <f t="shared" ca="1" si="90"/>
        <v>0</v>
      </c>
      <c r="S188" s="176">
        <f t="shared" ca="1" si="90"/>
        <v>0</v>
      </c>
      <c r="T188" s="176">
        <f t="shared" ca="1" si="90"/>
        <v>0</v>
      </c>
      <c r="U188" s="176">
        <f t="shared" ca="1" si="90"/>
        <v>0</v>
      </c>
      <c r="V188" s="176">
        <f t="shared" ca="1" si="90"/>
        <v>0</v>
      </c>
      <c r="W188" s="176">
        <f t="shared" ca="1" si="90"/>
        <v>0</v>
      </c>
      <c r="X188" s="176">
        <f t="shared" ca="1" si="90"/>
        <v>0</v>
      </c>
      <c r="Y188" s="176"/>
    </row>
    <row r="189" spans="4:25">
      <c r="D189" s="7" t="s">
        <v>116</v>
      </c>
      <c r="E189" s="175">
        <f t="shared" ca="1" si="75"/>
        <v>0</v>
      </c>
      <c r="F189" s="176">
        <f t="shared" ref="F189:X189" ca="1" si="91">E189+F150</f>
        <v>0</v>
      </c>
      <c r="G189" s="176">
        <f t="shared" ca="1" si="91"/>
        <v>0</v>
      </c>
      <c r="H189" s="176">
        <f t="shared" ca="1" si="91"/>
        <v>0</v>
      </c>
      <c r="I189" s="176">
        <f t="shared" ca="1" si="91"/>
        <v>0</v>
      </c>
      <c r="J189" s="176">
        <f t="shared" ca="1" si="91"/>
        <v>0</v>
      </c>
      <c r="K189" s="176">
        <f t="shared" ca="1" si="91"/>
        <v>0</v>
      </c>
      <c r="L189" s="176">
        <f t="shared" ca="1" si="91"/>
        <v>0</v>
      </c>
      <c r="M189" s="176">
        <f t="shared" ca="1" si="91"/>
        <v>0</v>
      </c>
      <c r="N189" s="176">
        <f t="shared" ca="1" si="91"/>
        <v>0</v>
      </c>
      <c r="O189" s="176">
        <f t="shared" ca="1" si="91"/>
        <v>0</v>
      </c>
      <c r="P189" s="176">
        <f t="shared" ca="1" si="91"/>
        <v>0</v>
      </c>
      <c r="Q189" s="176">
        <f t="shared" ca="1" si="91"/>
        <v>0</v>
      </c>
      <c r="R189" s="176">
        <f t="shared" ca="1" si="91"/>
        <v>0</v>
      </c>
      <c r="S189" s="176">
        <f t="shared" ca="1" si="91"/>
        <v>0</v>
      </c>
      <c r="T189" s="176">
        <f t="shared" ca="1" si="91"/>
        <v>0</v>
      </c>
      <c r="U189" s="176">
        <f t="shared" ca="1" si="91"/>
        <v>0</v>
      </c>
      <c r="V189" s="176">
        <f t="shared" ca="1" si="91"/>
        <v>0</v>
      </c>
      <c r="W189" s="176">
        <f t="shared" ca="1" si="91"/>
        <v>0</v>
      </c>
      <c r="X189" s="176">
        <f t="shared" ca="1" si="91"/>
        <v>0</v>
      </c>
      <c r="Y189" s="176"/>
    </row>
    <row r="190" spans="4:25">
      <c r="D190" s="7" t="s">
        <v>119</v>
      </c>
      <c r="E190" s="175">
        <f t="shared" ca="1" si="75"/>
        <v>0</v>
      </c>
      <c r="F190" s="176">
        <f t="shared" ref="F190:X190" ca="1" si="92">E190+F151</f>
        <v>0</v>
      </c>
      <c r="G190" s="176">
        <f t="shared" ca="1" si="92"/>
        <v>0</v>
      </c>
      <c r="H190" s="176">
        <f t="shared" ca="1" si="92"/>
        <v>0</v>
      </c>
      <c r="I190" s="176">
        <f t="shared" ca="1" si="92"/>
        <v>0</v>
      </c>
      <c r="J190" s="176">
        <f t="shared" ca="1" si="92"/>
        <v>0</v>
      </c>
      <c r="K190" s="176">
        <f t="shared" ca="1" si="92"/>
        <v>0</v>
      </c>
      <c r="L190" s="176">
        <f t="shared" ca="1" si="92"/>
        <v>0</v>
      </c>
      <c r="M190" s="176">
        <f t="shared" ca="1" si="92"/>
        <v>0</v>
      </c>
      <c r="N190" s="176">
        <f t="shared" ca="1" si="92"/>
        <v>0</v>
      </c>
      <c r="O190" s="176">
        <f t="shared" ca="1" si="92"/>
        <v>0</v>
      </c>
      <c r="P190" s="176">
        <f t="shared" ca="1" si="92"/>
        <v>0</v>
      </c>
      <c r="Q190" s="176">
        <f t="shared" ca="1" si="92"/>
        <v>0</v>
      </c>
      <c r="R190" s="176">
        <f t="shared" ca="1" si="92"/>
        <v>0</v>
      </c>
      <c r="S190" s="176">
        <f t="shared" ca="1" si="92"/>
        <v>0</v>
      </c>
      <c r="T190" s="176">
        <f t="shared" ca="1" si="92"/>
        <v>0</v>
      </c>
      <c r="U190" s="176">
        <f t="shared" ca="1" si="92"/>
        <v>0</v>
      </c>
      <c r="V190" s="176">
        <f t="shared" ca="1" si="92"/>
        <v>0</v>
      </c>
      <c r="W190" s="176">
        <f t="shared" ca="1" si="92"/>
        <v>0</v>
      </c>
      <c r="X190" s="176">
        <f t="shared" ca="1" si="92"/>
        <v>0</v>
      </c>
      <c r="Y190" s="176"/>
    </row>
    <row r="191" spans="4:25">
      <c r="D191" s="7" t="s">
        <v>122</v>
      </c>
      <c r="E191" s="175">
        <f t="shared" ca="1" si="75"/>
        <v>0</v>
      </c>
      <c r="F191" s="176">
        <f t="shared" ref="F191:X191" ca="1" si="93">E191+F152</f>
        <v>0</v>
      </c>
      <c r="G191" s="176">
        <f t="shared" ca="1" si="93"/>
        <v>0</v>
      </c>
      <c r="H191" s="176">
        <f t="shared" ca="1" si="93"/>
        <v>0</v>
      </c>
      <c r="I191" s="176">
        <f t="shared" ca="1" si="93"/>
        <v>0</v>
      </c>
      <c r="J191" s="176">
        <f t="shared" ca="1" si="93"/>
        <v>0</v>
      </c>
      <c r="K191" s="176">
        <f t="shared" ca="1" si="93"/>
        <v>0</v>
      </c>
      <c r="L191" s="176">
        <f t="shared" ca="1" si="93"/>
        <v>0</v>
      </c>
      <c r="M191" s="176">
        <f t="shared" ca="1" si="93"/>
        <v>0</v>
      </c>
      <c r="N191" s="176">
        <f t="shared" ca="1" si="93"/>
        <v>0</v>
      </c>
      <c r="O191" s="176">
        <f t="shared" ca="1" si="93"/>
        <v>0</v>
      </c>
      <c r="P191" s="176">
        <f t="shared" ca="1" si="93"/>
        <v>0</v>
      </c>
      <c r="Q191" s="176">
        <f t="shared" ca="1" si="93"/>
        <v>0</v>
      </c>
      <c r="R191" s="176">
        <f t="shared" ca="1" si="93"/>
        <v>0</v>
      </c>
      <c r="S191" s="176">
        <f t="shared" ca="1" si="93"/>
        <v>0</v>
      </c>
      <c r="T191" s="176">
        <f t="shared" ca="1" si="93"/>
        <v>0</v>
      </c>
      <c r="U191" s="176">
        <f t="shared" ca="1" si="93"/>
        <v>0</v>
      </c>
      <c r="V191" s="176">
        <f t="shared" ca="1" si="93"/>
        <v>0</v>
      </c>
      <c r="W191" s="176">
        <f t="shared" ca="1" si="93"/>
        <v>0</v>
      </c>
      <c r="X191" s="176">
        <f t="shared" ca="1" si="93"/>
        <v>0</v>
      </c>
      <c r="Y191" s="176"/>
    </row>
    <row r="192" spans="4:25">
      <c r="D192" s="7" t="s">
        <v>125</v>
      </c>
      <c r="E192" s="175">
        <f t="shared" ca="1" si="75"/>
        <v>0</v>
      </c>
      <c r="F192" s="176">
        <f t="shared" ref="F192:X192" ca="1" si="94">E192+F153</f>
        <v>0</v>
      </c>
      <c r="G192" s="176">
        <f t="shared" ca="1" si="94"/>
        <v>0</v>
      </c>
      <c r="H192" s="176">
        <f t="shared" ca="1" si="94"/>
        <v>0</v>
      </c>
      <c r="I192" s="176">
        <f t="shared" ca="1" si="94"/>
        <v>0</v>
      </c>
      <c r="J192" s="176">
        <f t="shared" ca="1" si="94"/>
        <v>0</v>
      </c>
      <c r="K192" s="176">
        <f t="shared" ca="1" si="94"/>
        <v>0</v>
      </c>
      <c r="L192" s="176">
        <f t="shared" ca="1" si="94"/>
        <v>0</v>
      </c>
      <c r="M192" s="176">
        <f t="shared" ca="1" si="94"/>
        <v>0</v>
      </c>
      <c r="N192" s="176">
        <f t="shared" ca="1" si="94"/>
        <v>0</v>
      </c>
      <c r="O192" s="176">
        <f t="shared" ca="1" si="94"/>
        <v>0</v>
      </c>
      <c r="P192" s="176">
        <f t="shared" ca="1" si="94"/>
        <v>0</v>
      </c>
      <c r="Q192" s="176">
        <f t="shared" ca="1" si="94"/>
        <v>0</v>
      </c>
      <c r="R192" s="176">
        <f t="shared" ca="1" si="94"/>
        <v>0</v>
      </c>
      <c r="S192" s="176">
        <f t="shared" ca="1" si="94"/>
        <v>0</v>
      </c>
      <c r="T192" s="176">
        <f t="shared" ca="1" si="94"/>
        <v>0</v>
      </c>
      <c r="U192" s="176">
        <f t="shared" ca="1" si="94"/>
        <v>0</v>
      </c>
      <c r="V192" s="176">
        <f t="shared" ca="1" si="94"/>
        <v>0</v>
      </c>
      <c r="W192" s="176">
        <f t="shared" ca="1" si="94"/>
        <v>0</v>
      </c>
      <c r="X192" s="176">
        <f t="shared" ca="1" si="94"/>
        <v>0</v>
      </c>
      <c r="Y192" s="176"/>
    </row>
    <row r="193" spans="4:79">
      <c r="D193" s="7" t="s">
        <v>128</v>
      </c>
      <c r="E193" s="175">
        <f t="shared" ca="1" si="75"/>
        <v>0</v>
      </c>
      <c r="F193" s="176">
        <f t="shared" ref="F193:X193" ca="1" si="95">E193+F154</f>
        <v>0</v>
      </c>
      <c r="G193" s="176">
        <f t="shared" ca="1" si="95"/>
        <v>0</v>
      </c>
      <c r="H193" s="176">
        <f t="shared" ca="1" si="95"/>
        <v>0</v>
      </c>
      <c r="I193" s="176">
        <f t="shared" ca="1" si="95"/>
        <v>0</v>
      </c>
      <c r="J193" s="176">
        <f t="shared" ca="1" si="95"/>
        <v>0</v>
      </c>
      <c r="K193" s="176">
        <f t="shared" ca="1" si="95"/>
        <v>0</v>
      </c>
      <c r="L193" s="176">
        <f t="shared" ca="1" si="95"/>
        <v>0</v>
      </c>
      <c r="M193" s="176">
        <f t="shared" ca="1" si="95"/>
        <v>0</v>
      </c>
      <c r="N193" s="176">
        <f t="shared" ca="1" si="95"/>
        <v>0</v>
      </c>
      <c r="O193" s="176">
        <f t="shared" ca="1" si="95"/>
        <v>0</v>
      </c>
      <c r="P193" s="176">
        <f t="shared" ca="1" si="95"/>
        <v>0</v>
      </c>
      <c r="Q193" s="176">
        <f t="shared" ca="1" si="95"/>
        <v>0</v>
      </c>
      <c r="R193" s="176">
        <f t="shared" ca="1" si="95"/>
        <v>0</v>
      </c>
      <c r="S193" s="176">
        <f t="shared" ca="1" si="95"/>
        <v>0</v>
      </c>
      <c r="T193" s="176">
        <f t="shared" ca="1" si="95"/>
        <v>0</v>
      </c>
      <c r="U193" s="176">
        <f t="shared" ca="1" si="95"/>
        <v>0</v>
      </c>
      <c r="V193" s="176">
        <f t="shared" ca="1" si="95"/>
        <v>0</v>
      </c>
      <c r="W193" s="176">
        <f t="shared" ca="1" si="95"/>
        <v>0</v>
      </c>
      <c r="X193" s="176">
        <f t="shared" ca="1" si="95"/>
        <v>0</v>
      </c>
      <c r="Y193" s="176"/>
    </row>
    <row r="194" spans="4:79">
      <c r="D194" s="7" t="s">
        <v>131</v>
      </c>
      <c r="E194" s="175">
        <f t="shared" ca="1" si="75"/>
        <v>0</v>
      </c>
      <c r="F194" s="176">
        <f t="shared" ref="F194:X194" ca="1" si="96">E194+F155</f>
        <v>0</v>
      </c>
      <c r="G194" s="176">
        <f t="shared" ca="1" si="96"/>
        <v>0</v>
      </c>
      <c r="H194" s="176">
        <f t="shared" ca="1" si="96"/>
        <v>0</v>
      </c>
      <c r="I194" s="176">
        <f t="shared" ca="1" si="96"/>
        <v>0</v>
      </c>
      <c r="J194" s="176">
        <f t="shared" ca="1" si="96"/>
        <v>0</v>
      </c>
      <c r="K194" s="176">
        <f t="shared" ca="1" si="96"/>
        <v>0</v>
      </c>
      <c r="L194" s="176">
        <f t="shared" ca="1" si="96"/>
        <v>0</v>
      </c>
      <c r="M194" s="176">
        <f t="shared" ca="1" si="96"/>
        <v>0</v>
      </c>
      <c r="N194" s="176">
        <f t="shared" ca="1" si="96"/>
        <v>0</v>
      </c>
      <c r="O194" s="176">
        <f t="shared" ca="1" si="96"/>
        <v>0</v>
      </c>
      <c r="P194" s="176">
        <f t="shared" ca="1" si="96"/>
        <v>0</v>
      </c>
      <c r="Q194" s="176">
        <f t="shared" ca="1" si="96"/>
        <v>0</v>
      </c>
      <c r="R194" s="176">
        <f t="shared" ca="1" si="96"/>
        <v>0</v>
      </c>
      <c r="S194" s="176">
        <f t="shared" ca="1" si="96"/>
        <v>0</v>
      </c>
      <c r="T194" s="176">
        <f t="shared" ca="1" si="96"/>
        <v>0</v>
      </c>
      <c r="U194" s="176">
        <f t="shared" ca="1" si="96"/>
        <v>0</v>
      </c>
      <c r="V194" s="176">
        <f t="shared" ca="1" si="96"/>
        <v>0</v>
      </c>
      <c r="W194" s="176">
        <f t="shared" ca="1" si="96"/>
        <v>0</v>
      </c>
      <c r="X194" s="176">
        <f t="shared" ca="1" si="96"/>
        <v>0</v>
      </c>
      <c r="Y194" s="176"/>
    </row>
    <row r="195" spans="4:79">
      <c r="D195" s="7" t="s">
        <v>517</v>
      </c>
      <c r="E195" s="175">
        <f t="shared" ca="1" si="75"/>
        <v>0</v>
      </c>
      <c r="F195" s="176">
        <f t="shared" ref="F195:X195" ca="1" si="97">E195+F156</f>
        <v>0</v>
      </c>
      <c r="G195" s="176">
        <f t="shared" ca="1" si="97"/>
        <v>0</v>
      </c>
      <c r="H195" s="176">
        <f t="shared" ca="1" si="97"/>
        <v>0</v>
      </c>
      <c r="I195" s="176">
        <f t="shared" ca="1" si="97"/>
        <v>0</v>
      </c>
      <c r="J195" s="176">
        <f t="shared" ca="1" si="97"/>
        <v>0</v>
      </c>
      <c r="K195" s="176">
        <f t="shared" ca="1" si="97"/>
        <v>0</v>
      </c>
      <c r="L195" s="176">
        <f t="shared" ca="1" si="97"/>
        <v>0</v>
      </c>
      <c r="M195" s="176">
        <f t="shared" ca="1" si="97"/>
        <v>0</v>
      </c>
      <c r="N195" s="176">
        <f t="shared" ca="1" si="97"/>
        <v>0</v>
      </c>
      <c r="O195" s="176">
        <f t="shared" ca="1" si="97"/>
        <v>0</v>
      </c>
      <c r="P195" s="176">
        <f t="shared" ca="1" si="97"/>
        <v>0</v>
      </c>
      <c r="Q195" s="176">
        <f t="shared" ca="1" si="97"/>
        <v>0</v>
      </c>
      <c r="R195" s="176">
        <f t="shared" ca="1" si="97"/>
        <v>0</v>
      </c>
      <c r="S195" s="176">
        <f t="shared" ca="1" si="97"/>
        <v>0</v>
      </c>
      <c r="T195" s="176">
        <f t="shared" ca="1" si="97"/>
        <v>0</v>
      </c>
      <c r="U195" s="176">
        <f t="shared" ca="1" si="97"/>
        <v>0</v>
      </c>
      <c r="V195" s="176">
        <f t="shared" ca="1" si="97"/>
        <v>0</v>
      </c>
      <c r="W195" s="176">
        <f t="shared" ca="1" si="97"/>
        <v>0</v>
      </c>
      <c r="X195" s="176">
        <f t="shared" ca="1" si="97"/>
        <v>0</v>
      </c>
      <c r="Y195" s="176"/>
    </row>
    <row r="196" spans="4:79">
      <c r="D196" s="7" t="s">
        <v>518</v>
      </c>
      <c r="E196" s="175">
        <f t="shared" ca="1" si="75"/>
        <v>0</v>
      </c>
      <c r="F196" s="176">
        <f t="shared" ref="F196:X196" ca="1" si="98">E196+F157</f>
        <v>0</v>
      </c>
      <c r="G196" s="176">
        <f t="shared" ca="1" si="98"/>
        <v>0</v>
      </c>
      <c r="H196" s="176">
        <f t="shared" ca="1" si="98"/>
        <v>0</v>
      </c>
      <c r="I196" s="176">
        <f t="shared" ca="1" si="98"/>
        <v>0</v>
      </c>
      <c r="J196" s="176">
        <f t="shared" ca="1" si="98"/>
        <v>0</v>
      </c>
      <c r="K196" s="176">
        <f t="shared" ca="1" si="98"/>
        <v>0</v>
      </c>
      <c r="L196" s="176">
        <f t="shared" ca="1" si="98"/>
        <v>0</v>
      </c>
      <c r="M196" s="176">
        <f t="shared" ca="1" si="98"/>
        <v>0</v>
      </c>
      <c r="N196" s="176">
        <f t="shared" ca="1" si="98"/>
        <v>0</v>
      </c>
      <c r="O196" s="176">
        <f t="shared" ca="1" si="98"/>
        <v>0</v>
      </c>
      <c r="P196" s="176">
        <f t="shared" ca="1" si="98"/>
        <v>0</v>
      </c>
      <c r="Q196" s="176">
        <f t="shared" ca="1" si="98"/>
        <v>0</v>
      </c>
      <c r="R196" s="176">
        <f t="shared" ca="1" si="98"/>
        <v>0</v>
      </c>
      <c r="S196" s="176">
        <f t="shared" ca="1" si="98"/>
        <v>0</v>
      </c>
      <c r="T196" s="176">
        <f t="shared" ca="1" si="98"/>
        <v>0</v>
      </c>
      <c r="U196" s="176">
        <f t="shared" ca="1" si="98"/>
        <v>0</v>
      </c>
      <c r="V196" s="176">
        <f t="shared" ca="1" si="98"/>
        <v>0</v>
      </c>
      <c r="W196" s="176">
        <f t="shared" ca="1" si="98"/>
        <v>0</v>
      </c>
      <c r="X196" s="176">
        <f t="shared" ca="1" si="98"/>
        <v>0</v>
      </c>
      <c r="Y196" s="176"/>
    </row>
    <row r="197" spans="4:79">
      <c r="D197" s="7" t="s">
        <v>519</v>
      </c>
      <c r="E197" s="175">
        <f t="shared" ca="1" si="75"/>
        <v>0</v>
      </c>
      <c r="F197" s="176">
        <f t="shared" ref="F197:X197" ca="1" si="99">E197+F158</f>
        <v>0</v>
      </c>
      <c r="G197" s="176">
        <f t="shared" ca="1" si="99"/>
        <v>0</v>
      </c>
      <c r="H197" s="176">
        <f t="shared" ca="1" si="99"/>
        <v>0</v>
      </c>
      <c r="I197" s="176">
        <f t="shared" ca="1" si="99"/>
        <v>0</v>
      </c>
      <c r="J197" s="176">
        <f t="shared" ca="1" si="99"/>
        <v>0</v>
      </c>
      <c r="K197" s="176">
        <f t="shared" ca="1" si="99"/>
        <v>0</v>
      </c>
      <c r="L197" s="176">
        <f t="shared" ca="1" si="99"/>
        <v>0</v>
      </c>
      <c r="M197" s="176">
        <f t="shared" ca="1" si="99"/>
        <v>0</v>
      </c>
      <c r="N197" s="176">
        <f t="shared" ca="1" si="99"/>
        <v>0</v>
      </c>
      <c r="O197" s="176">
        <f t="shared" ca="1" si="99"/>
        <v>0</v>
      </c>
      <c r="P197" s="176">
        <f t="shared" ca="1" si="99"/>
        <v>0</v>
      </c>
      <c r="Q197" s="176">
        <f t="shared" ca="1" si="99"/>
        <v>0</v>
      </c>
      <c r="R197" s="176">
        <f t="shared" ca="1" si="99"/>
        <v>0</v>
      </c>
      <c r="S197" s="176">
        <f t="shared" ca="1" si="99"/>
        <v>0</v>
      </c>
      <c r="T197" s="176">
        <f t="shared" ca="1" si="99"/>
        <v>0</v>
      </c>
      <c r="U197" s="176">
        <f t="shared" ca="1" si="99"/>
        <v>0</v>
      </c>
      <c r="V197" s="176">
        <f t="shared" ca="1" si="99"/>
        <v>0</v>
      </c>
      <c r="W197" s="176">
        <f t="shared" ca="1" si="99"/>
        <v>0</v>
      </c>
      <c r="X197" s="176">
        <f t="shared" ca="1" si="99"/>
        <v>0</v>
      </c>
      <c r="Y197" s="176"/>
    </row>
    <row r="198" spans="4:79">
      <c r="D198" s="7" t="s">
        <v>520</v>
      </c>
      <c r="E198" s="175">
        <f t="shared" ca="1" si="75"/>
        <v>0</v>
      </c>
      <c r="F198" s="176">
        <f t="shared" ref="F198:X198" ca="1" si="100">E198+F159</f>
        <v>0</v>
      </c>
      <c r="G198" s="176">
        <f t="shared" ca="1" si="100"/>
        <v>0</v>
      </c>
      <c r="H198" s="176">
        <f t="shared" ca="1" si="100"/>
        <v>0</v>
      </c>
      <c r="I198" s="176">
        <f t="shared" ca="1" si="100"/>
        <v>0</v>
      </c>
      <c r="J198" s="176">
        <f t="shared" ca="1" si="100"/>
        <v>0</v>
      </c>
      <c r="K198" s="176">
        <f t="shared" ca="1" si="100"/>
        <v>0</v>
      </c>
      <c r="L198" s="176">
        <f t="shared" ca="1" si="100"/>
        <v>0</v>
      </c>
      <c r="M198" s="176">
        <f t="shared" ca="1" si="100"/>
        <v>0</v>
      </c>
      <c r="N198" s="176">
        <f t="shared" ca="1" si="100"/>
        <v>0</v>
      </c>
      <c r="O198" s="176">
        <f t="shared" ca="1" si="100"/>
        <v>0</v>
      </c>
      <c r="P198" s="176">
        <f t="shared" ca="1" si="100"/>
        <v>0</v>
      </c>
      <c r="Q198" s="176">
        <f t="shared" ca="1" si="100"/>
        <v>0</v>
      </c>
      <c r="R198" s="176">
        <f t="shared" ca="1" si="100"/>
        <v>0</v>
      </c>
      <c r="S198" s="176">
        <f t="shared" ca="1" si="100"/>
        <v>0</v>
      </c>
      <c r="T198" s="176">
        <f t="shared" ca="1" si="100"/>
        <v>0</v>
      </c>
      <c r="U198" s="176">
        <f t="shared" ca="1" si="100"/>
        <v>0</v>
      </c>
      <c r="V198" s="176">
        <f t="shared" ca="1" si="100"/>
        <v>0</v>
      </c>
      <c r="W198" s="176">
        <f t="shared" ca="1" si="100"/>
        <v>0</v>
      </c>
      <c r="X198" s="176">
        <f t="shared" ca="1" si="100"/>
        <v>0</v>
      </c>
      <c r="Y198" s="176"/>
    </row>
    <row r="199" spans="4:79">
      <c r="D199" s="7" t="s">
        <v>521</v>
      </c>
      <c r="E199" s="175">
        <f t="shared" ca="1" si="75"/>
        <v>0</v>
      </c>
      <c r="F199" s="176">
        <f t="shared" ref="F199:X199" ca="1" si="101">E199+F160</f>
        <v>0</v>
      </c>
      <c r="G199" s="176">
        <f t="shared" ca="1" si="101"/>
        <v>0</v>
      </c>
      <c r="H199" s="176">
        <f t="shared" ca="1" si="101"/>
        <v>0</v>
      </c>
      <c r="I199" s="176">
        <f t="shared" ca="1" si="101"/>
        <v>0</v>
      </c>
      <c r="J199" s="176">
        <f t="shared" ca="1" si="101"/>
        <v>0</v>
      </c>
      <c r="K199" s="176">
        <f t="shared" ca="1" si="101"/>
        <v>0</v>
      </c>
      <c r="L199" s="176">
        <f t="shared" ca="1" si="101"/>
        <v>0</v>
      </c>
      <c r="M199" s="176">
        <f t="shared" ca="1" si="101"/>
        <v>0</v>
      </c>
      <c r="N199" s="176">
        <f t="shared" ca="1" si="101"/>
        <v>0</v>
      </c>
      <c r="O199" s="176">
        <f t="shared" ca="1" si="101"/>
        <v>0</v>
      </c>
      <c r="P199" s="176">
        <f t="shared" ca="1" si="101"/>
        <v>0</v>
      </c>
      <c r="Q199" s="176">
        <f t="shared" ca="1" si="101"/>
        <v>0</v>
      </c>
      <c r="R199" s="176">
        <f t="shared" ca="1" si="101"/>
        <v>0</v>
      </c>
      <c r="S199" s="176">
        <f t="shared" ca="1" si="101"/>
        <v>0</v>
      </c>
      <c r="T199" s="176">
        <f t="shared" ca="1" si="101"/>
        <v>0</v>
      </c>
      <c r="U199" s="176">
        <f t="shared" ca="1" si="101"/>
        <v>0</v>
      </c>
      <c r="V199" s="176">
        <f t="shared" ca="1" si="101"/>
        <v>0</v>
      </c>
      <c r="W199" s="176">
        <f t="shared" ca="1" si="101"/>
        <v>0</v>
      </c>
      <c r="X199" s="176">
        <f t="shared" ca="1" si="101"/>
        <v>0</v>
      </c>
      <c r="Y199" s="176"/>
    </row>
    <row r="200" spans="4:79">
      <c r="D200" s="7" t="s">
        <v>522</v>
      </c>
      <c r="E200" s="175">
        <f t="shared" ca="1" si="75"/>
        <v>0</v>
      </c>
      <c r="F200" s="176">
        <f t="shared" ref="F200:X200" ca="1" si="102">E200+F161</f>
        <v>0</v>
      </c>
      <c r="G200" s="176">
        <f t="shared" ca="1" si="102"/>
        <v>0</v>
      </c>
      <c r="H200" s="176">
        <f t="shared" ca="1" si="102"/>
        <v>0</v>
      </c>
      <c r="I200" s="176">
        <f t="shared" ca="1" si="102"/>
        <v>0</v>
      </c>
      <c r="J200" s="176">
        <f t="shared" ca="1" si="102"/>
        <v>0</v>
      </c>
      <c r="K200" s="176">
        <f t="shared" ca="1" si="102"/>
        <v>0</v>
      </c>
      <c r="L200" s="176">
        <f t="shared" ca="1" si="102"/>
        <v>0</v>
      </c>
      <c r="M200" s="176">
        <f t="shared" ca="1" si="102"/>
        <v>0</v>
      </c>
      <c r="N200" s="176">
        <f t="shared" ca="1" si="102"/>
        <v>0</v>
      </c>
      <c r="O200" s="176">
        <f t="shared" ca="1" si="102"/>
        <v>0</v>
      </c>
      <c r="P200" s="176">
        <f t="shared" ca="1" si="102"/>
        <v>0</v>
      </c>
      <c r="Q200" s="176">
        <f t="shared" ca="1" si="102"/>
        <v>0</v>
      </c>
      <c r="R200" s="176">
        <f t="shared" ca="1" si="102"/>
        <v>0</v>
      </c>
      <c r="S200" s="176">
        <f t="shared" ca="1" si="102"/>
        <v>0</v>
      </c>
      <c r="T200" s="176">
        <f t="shared" ca="1" si="102"/>
        <v>0</v>
      </c>
      <c r="U200" s="176">
        <f t="shared" ca="1" si="102"/>
        <v>0</v>
      </c>
      <c r="V200" s="176">
        <f t="shared" ca="1" si="102"/>
        <v>0</v>
      </c>
      <c r="W200" s="176">
        <f t="shared" ca="1" si="102"/>
        <v>0</v>
      </c>
      <c r="X200" s="176">
        <f t="shared" ca="1" si="102"/>
        <v>0</v>
      </c>
      <c r="Y200" s="176"/>
    </row>
    <row r="201" spans="4:79">
      <c r="D201" s="7" t="s">
        <v>523</v>
      </c>
      <c r="E201" s="175">
        <f t="shared" ca="1" si="75"/>
        <v>0</v>
      </c>
      <c r="F201" s="176">
        <f t="shared" ref="F201:X201" ca="1" si="103">E201+F162</f>
        <v>0</v>
      </c>
      <c r="G201" s="176">
        <f t="shared" ca="1" si="103"/>
        <v>0</v>
      </c>
      <c r="H201" s="176">
        <f t="shared" ca="1" si="103"/>
        <v>0</v>
      </c>
      <c r="I201" s="176">
        <f t="shared" ca="1" si="103"/>
        <v>0</v>
      </c>
      <c r="J201" s="176">
        <f t="shared" ca="1" si="103"/>
        <v>0</v>
      </c>
      <c r="K201" s="176">
        <f t="shared" ca="1" si="103"/>
        <v>0</v>
      </c>
      <c r="L201" s="176">
        <f t="shared" ca="1" si="103"/>
        <v>0</v>
      </c>
      <c r="M201" s="176">
        <f t="shared" ca="1" si="103"/>
        <v>0</v>
      </c>
      <c r="N201" s="176">
        <f t="shared" ca="1" si="103"/>
        <v>0</v>
      </c>
      <c r="O201" s="176">
        <f t="shared" ca="1" si="103"/>
        <v>0</v>
      </c>
      <c r="P201" s="176">
        <f t="shared" ca="1" si="103"/>
        <v>0</v>
      </c>
      <c r="Q201" s="176">
        <f t="shared" ca="1" si="103"/>
        <v>0</v>
      </c>
      <c r="R201" s="176">
        <f t="shared" ca="1" si="103"/>
        <v>0</v>
      </c>
      <c r="S201" s="176">
        <f t="shared" ca="1" si="103"/>
        <v>0</v>
      </c>
      <c r="T201" s="176">
        <f t="shared" ca="1" si="103"/>
        <v>0</v>
      </c>
      <c r="U201" s="176">
        <f t="shared" ca="1" si="103"/>
        <v>0</v>
      </c>
      <c r="V201" s="176">
        <f t="shared" ca="1" si="103"/>
        <v>0</v>
      </c>
      <c r="W201" s="176">
        <f t="shared" ca="1" si="103"/>
        <v>0</v>
      </c>
      <c r="X201" s="176">
        <f t="shared" ca="1" si="103"/>
        <v>0</v>
      </c>
      <c r="Y201" s="176"/>
    </row>
    <row r="202" spans="4:79">
      <c r="D202" s="7" t="s">
        <v>524</v>
      </c>
      <c r="E202" s="175">
        <f t="shared" ca="1" si="75"/>
        <v>0</v>
      </c>
      <c r="F202" s="176">
        <f t="shared" ref="F202:X202" ca="1" si="104">E202+F163</f>
        <v>0</v>
      </c>
      <c r="G202" s="176">
        <f t="shared" ca="1" si="104"/>
        <v>0</v>
      </c>
      <c r="H202" s="176">
        <f t="shared" ca="1" si="104"/>
        <v>0</v>
      </c>
      <c r="I202" s="176">
        <f t="shared" ca="1" si="104"/>
        <v>0</v>
      </c>
      <c r="J202" s="176">
        <f t="shared" ca="1" si="104"/>
        <v>0</v>
      </c>
      <c r="K202" s="176">
        <f t="shared" ca="1" si="104"/>
        <v>0</v>
      </c>
      <c r="L202" s="176">
        <f t="shared" ca="1" si="104"/>
        <v>0</v>
      </c>
      <c r="M202" s="176">
        <f t="shared" ca="1" si="104"/>
        <v>0</v>
      </c>
      <c r="N202" s="176">
        <f t="shared" ca="1" si="104"/>
        <v>0</v>
      </c>
      <c r="O202" s="176">
        <f t="shared" ca="1" si="104"/>
        <v>0</v>
      </c>
      <c r="P202" s="176">
        <f t="shared" ca="1" si="104"/>
        <v>0</v>
      </c>
      <c r="Q202" s="176">
        <f t="shared" ca="1" si="104"/>
        <v>0</v>
      </c>
      <c r="R202" s="176">
        <f t="shared" ca="1" si="104"/>
        <v>0</v>
      </c>
      <c r="S202" s="176">
        <f t="shared" ca="1" si="104"/>
        <v>0</v>
      </c>
      <c r="T202" s="176">
        <f t="shared" ca="1" si="104"/>
        <v>0</v>
      </c>
      <c r="U202" s="176">
        <f t="shared" ca="1" si="104"/>
        <v>0</v>
      </c>
      <c r="V202" s="176">
        <f t="shared" ca="1" si="104"/>
        <v>0</v>
      </c>
      <c r="W202" s="176">
        <f t="shared" ca="1" si="104"/>
        <v>0</v>
      </c>
      <c r="X202" s="176">
        <f t="shared" ca="1" si="104"/>
        <v>0</v>
      </c>
      <c r="Y202" s="176"/>
    </row>
    <row r="203" spans="4:79">
      <c r="D203" s="7" t="s">
        <v>525</v>
      </c>
      <c r="E203" s="175">
        <f t="shared" ca="1" si="75"/>
        <v>0</v>
      </c>
      <c r="F203" s="176">
        <f t="shared" ref="F203:X203" ca="1" si="105">E203+F164</f>
        <v>0</v>
      </c>
      <c r="G203" s="176">
        <f t="shared" ca="1" si="105"/>
        <v>0</v>
      </c>
      <c r="H203" s="176">
        <f t="shared" ca="1" si="105"/>
        <v>0</v>
      </c>
      <c r="I203" s="176">
        <f t="shared" ca="1" si="105"/>
        <v>0</v>
      </c>
      <c r="J203" s="176">
        <f t="shared" ca="1" si="105"/>
        <v>0</v>
      </c>
      <c r="K203" s="176">
        <f t="shared" ca="1" si="105"/>
        <v>0</v>
      </c>
      <c r="L203" s="176">
        <f t="shared" ca="1" si="105"/>
        <v>0</v>
      </c>
      <c r="M203" s="176">
        <f t="shared" ca="1" si="105"/>
        <v>0</v>
      </c>
      <c r="N203" s="176">
        <f t="shared" ca="1" si="105"/>
        <v>0</v>
      </c>
      <c r="O203" s="176">
        <f t="shared" ca="1" si="105"/>
        <v>0</v>
      </c>
      <c r="P203" s="176">
        <f t="shared" ca="1" si="105"/>
        <v>0</v>
      </c>
      <c r="Q203" s="176">
        <f t="shared" ca="1" si="105"/>
        <v>0</v>
      </c>
      <c r="R203" s="176">
        <f t="shared" ca="1" si="105"/>
        <v>0</v>
      </c>
      <c r="S203" s="176">
        <f t="shared" ca="1" si="105"/>
        <v>0</v>
      </c>
      <c r="T203" s="176">
        <f t="shared" ca="1" si="105"/>
        <v>0</v>
      </c>
      <c r="U203" s="176">
        <f t="shared" ca="1" si="105"/>
        <v>0</v>
      </c>
      <c r="V203" s="176">
        <f t="shared" ca="1" si="105"/>
        <v>0</v>
      </c>
      <c r="W203" s="176">
        <f t="shared" ca="1" si="105"/>
        <v>0</v>
      </c>
      <c r="X203" s="176">
        <f t="shared" ca="1" si="105"/>
        <v>0</v>
      </c>
      <c r="Y203" s="176"/>
    </row>
    <row r="204" spans="4:79">
      <c r="D204" s="7" t="s">
        <v>526</v>
      </c>
      <c r="E204" s="175">
        <f t="shared" ca="1" si="75"/>
        <v>0</v>
      </c>
      <c r="F204" s="176">
        <f t="shared" ref="F204:X204" ca="1" si="106">E204+F165</f>
        <v>0</v>
      </c>
      <c r="G204" s="176">
        <f t="shared" ca="1" si="106"/>
        <v>0</v>
      </c>
      <c r="H204" s="176">
        <f t="shared" ca="1" si="106"/>
        <v>0</v>
      </c>
      <c r="I204" s="176">
        <f t="shared" ca="1" si="106"/>
        <v>0</v>
      </c>
      <c r="J204" s="176">
        <f t="shared" ca="1" si="106"/>
        <v>0</v>
      </c>
      <c r="K204" s="176">
        <f t="shared" ca="1" si="106"/>
        <v>0</v>
      </c>
      <c r="L204" s="176">
        <f t="shared" ca="1" si="106"/>
        <v>0</v>
      </c>
      <c r="M204" s="176">
        <f t="shared" ca="1" si="106"/>
        <v>0</v>
      </c>
      <c r="N204" s="176">
        <f t="shared" ca="1" si="106"/>
        <v>0</v>
      </c>
      <c r="O204" s="176">
        <f t="shared" ca="1" si="106"/>
        <v>0</v>
      </c>
      <c r="P204" s="176">
        <f t="shared" ca="1" si="106"/>
        <v>0</v>
      </c>
      <c r="Q204" s="176">
        <f t="shared" ca="1" si="106"/>
        <v>0</v>
      </c>
      <c r="R204" s="176">
        <f t="shared" ca="1" si="106"/>
        <v>0</v>
      </c>
      <c r="S204" s="176">
        <f t="shared" ca="1" si="106"/>
        <v>0</v>
      </c>
      <c r="T204" s="176">
        <f t="shared" ca="1" si="106"/>
        <v>0</v>
      </c>
      <c r="U204" s="176">
        <f t="shared" ca="1" si="106"/>
        <v>0</v>
      </c>
      <c r="V204" s="176">
        <f t="shared" ca="1" si="106"/>
        <v>0</v>
      </c>
      <c r="W204" s="176">
        <f t="shared" ca="1" si="106"/>
        <v>0</v>
      </c>
      <c r="X204" s="176">
        <f t="shared" ca="1" si="106"/>
        <v>0</v>
      </c>
      <c r="Y204" s="176"/>
    </row>
    <row r="205" spans="4:79">
      <c r="D205" s="7" t="s">
        <v>527</v>
      </c>
      <c r="E205" s="175">
        <f t="shared" ref="E205" ca="1" si="107">E166</f>
        <v>1.6861230070135652E-2</v>
      </c>
      <c r="F205" s="176">
        <f t="shared" ref="F205:X205" ca="1" si="108">E205+F166</f>
        <v>6.0077031773082462E-2</v>
      </c>
      <c r="G205" s="176">
        <f t="shared" ca="1" si="108"/>
        <v>0.15578764811536663</v>
      </c>
      <c r="H205" s="176">
        <f t="shared" ca="1" si="108"/>
        <v>0.3429793577845015</v>
      </c>
      <c r="I205" s="176">
        <f t="shared" ca="1" si="108"/>
        <v>0.67185556488852982</v>
      </c>
      <c r="J205" s="176">
        <f t="shared" ca="1" si="108"/>
        <v>1.1981827504497591</v>
      </c>
      <c r="K205" s="176">
        <f t="shared" ca="1" si="108"/>
        <v>1.9745853894909071</v>
      </c>
      <c r="L205" s="176">
        <f t="shared" ca="1" si="108"/>
        <v>3.0411959427522435</v>
      </c>
      <c r="M205" s="176">
        <f t="shared" ca="1" si="108"/>
        <v>4.4184926387076819</v>
      </c>
      <c r="N205" s="176">
        <f t="shared" ca="1" si="108"/>
        <v>6.1043684753076652</v>
      </c>
      <c r="O205" s="176">
        <f t="shared" ca="1" si="108"/>
        <v>8.0759224909515517</v>
      </c>
      <c r="P205" s="176">
        <f t="shared" ca="1" si="108"/>
        <v>10.294925549916341</v>
      </c>
      <c r="Q205" s="176">
        <f t="shared" ca="1" si="108"/>
        <v>12.715018992212991</v>
      </c>
      <c r="R205" s="176">
        <f t="shared" ca="1" si="108"/>
        <v>15.750948104829645</v>
      </c>
      <c r="S205" s="176">
        <f t="shared" ca="1" si="108"/>
        <v>18.894936065620122</v>
      </c>
      <c r="T205" s="176">
        <f t="shared" ca="1" si="108"/>
        <v>22.097405727883118</v>
      </c>
      <c r="U205" s="176">
        <f t="shared" ca="1" si="108"/>
        <v>25.330029934382559</v>
      </c>
      <c r="V205" s="176">
        <f t="shared" ca="1" si="108"/>
        <v>28.564866646761246</v>
      </c>
      <c r="W205" s="176">
        <f t="shared" ca="1" si="108"/>
        <v>31.772922086882701</v>
      </c>
      <c r="X205" s="176">
        <f t="shared" ca="1" si="108"/>
        <v>34.947252816493766</v>
      </c>
      <c r="Y205" s="176"/>
    </row>
    <row r="207" spans="4:79" ht="15">
      <c r="D207" s="67" t="s">
        <v>138</v>
      </c>
      <c r="E207" s="67">
        <f ca="1">SUM(E174:E205)</f>
        <v>0.12909059149259045</v>
      </c>
      <c r="F207" s="67">
        <f ca="1">SUM(F174:F205)</f>
        <v>0.45987937946195923</v>
      </c>
      <c r="G207" s="67">
        <f t="shared" ref="G207:X207" ca="1" si="109">SUM(G174:G205)</f>
        <v>1.1923188838077579</v>
      </c>
      <c r="H207" s="67">
        <f t="shared" ca="1" si="109"/>
        <v>2.6245142586656849</v>
      </c>
      <c r="I207" s="67">
        <f t="shared" ca="1" si="109"/>
        <v>5.1401785605254044</v>
      </c>
      <c r="J207" s="67">
        <f t="shared" ca="1" si="109"/>
        <v>9.1653202774024951</v>
      </c>
      <c r="K207" s="67">
        <f t="shared" ca="1" si="109"/>
        <v>15.101650898586428</v>
      </c>
      <c r="L207" s="67">
        <f t="shared" ca="1" si="109"/>
        <v>23.255134856441135</v>
      </c>
      <c r="M207" s="67">
        <f t="shared" ca="1" si="109"/>
        <v>33.781336311739267</v>
      </c>
      <c r="N207" s="67">
        <f t="shared" ca="1" si="109"/>
        <v>46.66315385801915</v>
      </c>
      <c r="O207" s="67">
        <f t="shared" ca="1" si="109"/>
        <v>61.724652275223292</v>
      </c>
      <c r="P207" s="67">
        <f t="shared" ca="1" si="109"/>
        <v>78.672942766659702</v>
      </c>
      <c r="Q207" s="67">
        <f t="shared" ca="1" si="109"/>
        <v>97.153249886671006</v>
      </c>
      <c r="R207" s="67">
        <f t="shared" ca="1" si="109"/>
        <v>120.25910413889305</v>
      </c>
      <c r="S207" s="67">
        <f t="shared" ca="1" si="109"/>
        <v>144.18737303521172</v>
      </c>
      <c r="T207" s="67">
        <f t="shared" ca="1" si="109"/>
        <v>168.56246012973244</v>
      </c>
      <c r="U207" s="67">
        <f t="shared" ca="1" si="109"/>
        <v>193.16753222310922</v>
      </c>
      <c r="V207" s="67">
        <f t="shared" ca="1" si="109"/>
        <v>217.78824011624613</v>
      </c>
      <c r="W207" s="67">
        <f t="shared" ca="1" si="109"/>
        <v>242.20639579057706</v>
      </c>
      <c r="X207" s="67">
        <f t="shared" ca="1" si="109"/>
        <v>266.36862228974627</v>
      </c>
      <c r="Y207" s="6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row>
    <row r="208" spans="4:79">
      <c r="E208" s="29"/>
      <c r="F208" s="35"/>
      <c r="G208" s="35"/>
      <c r="H208" s="35"/>
      <c r="I208" s="35"/>
      <c r="J208" s="35"/>
      <c r="K208" s="35"/>
      <c r="L208" s="35"/>
      <c r="M208" s="35"/>
      <c r="N208" s="35"/>
      <c r="O208" s="35"/>
      <c r="P208" s="35"/>
      <c r="Q208" s="35"/>
      <c r="R208" s="35"/>
      <c r="S208" s="35"/>
      <c r="T208" s="35"/>
      <c r="U208" s="35"/>
      <c r="V208" s="35"/>
      <c r="W208" s="35"/>
      <c r="X208" s="35"/>
      <c r="Y208" s="35"/>
    </row>
    <row r="211" spans="4:25" customFormat="1"/>
    <row r="212" spans="4:25" customFormat="1"/>
    <row r="213" spans="4:25" customFormat="1"/>
    <row r="214" spans="4:25" customFormat="1"/>
    <row r="215" spans="4:25" customFormat="1"/>
    <row r="216" spans="4:25" customFormat="1"/>
    <row r="217" spans="4:25" customFormat="1" ht="15">
      <c r="D217" s="47"/>
      <c r="E217" s="47"/>
      <c r="F217" s="65">
        <f>E11</f>
        <v>2016</v>
      </c>
      <c r="G217" s="65">
        <f t="shared" ref="G217:W217" si="110">F11</f>
        <v>2017</v>
      </c>
      <c r="H217" s="65">
        <f t="shared" si="110"/>
        <v>2018</v>
      </c>
      <c r="I217" s="65">
        <f t="shared" si="110"/>
        <v>2019</v>
      </c>
      <c r="J217" s="65">
        <f t="shared" si="110"/>
        <v>2020</v>
      </c>
      <c r="K217" s="65">
        <f t="shared" si="110"/>
        <v>2021</v>
      </c>
      <c r="L217" s="65">
        <f t="shared" si="110"/>
        <v>2022</v>
      </c>
      <c r="M217" s="65">
        <f t="shared" si="110"/>
        <v>2023</v>
      </c>
      <c r="N217" s="65">
        <f t="shared" si="110"/>
        <v>2024</v>
      </c>
      <c r="O217" s="65">
        <f t="shared" si="110"/>
        <v>2025</v>
      </c>
      <c r="P217" s="65">
        <f t="shared" si="110"/>
        <v>2026</v>
      </c>
      <c r="Q217" s="65">
        <f t="shared" si="110"/>
        <v>2027</v>
      </c>
      <c r="R217" s="65">
        <f t="shared" si="110"/>
        <v>2028</v>
      </c>
      <c r="S217" s="65">
        <f t="shared" si="110"/>
        <v>2029</v>
      </c>
      <c r="T217" s="65">
        <f t="shared" si="110"/>
        <v>2030</v>
      </c>
      <c r="U217" s="65">
        <f t="shared" si="110"/>
        <v>2031</v>
      </c>
      <c r="V217" s="65">
        <f t="shared" si="110"/>
        <v>2032</v>
      </c>
      <c r="W217" s="65">
        <f t="shared" si="110"/>
        <v>2033</v>
      </c>
      <c r="X217" s="65">
        <f t="shared" ref="X217:Y217" si="111">W11</f>
        <v>2034</v>
      </c>
      <c r="Y217" s="65">
        <f t="shared" si="111"/>
        <v>2035</v>
      </c>
    </row>
    <row r="218" spans="4:25" customFormat="1">
      <c r="D218" s="7" t="s">
        <v>50</v>
      </c>
      <c r="E218" s="7"/>
      <c r="F218" s="35">
        <f ca="1">(E13-E50/$B37)</f>
        <v>4202085.27737753</v>
      </c>
      <c r="G218" s="35">
        <f t="shared" ref="G218:W218" ca="1" si="112">(F13-F50/$B37)</f>
        <v>4190280.1577994851</v>
      </c>
      <c r="H218" s="35">
        <f t="shared" ca="1" si="112"/>
        <v>4176249.020188143</v>
      </c>
      <c r="I218" s="35">
        <f t="shared" ca="1" si="112"/>
        <v>4158880.7440845841</v>
      </c>
      <c r="J218" s="35">
        <f t="shared" ca="1" si="112"/>
        <v>4137199.2441678727</v>
      </c>
      <c r="K218" s="35">
        <f t="shared" ca="1" si="112"/>
        <v>4110710.8461319762</v>
      </c>
      <c r="L218" s="35">
        <f t="shared" ca="1" si="112"/>
        <v>4079670.0752234017</v>
      </c>
      <c r="M218" s="35">
        <f t="shared" ca="1" si="112"/>
        <v>4045139.5886793537</v>
      </c>
      <c r="N218" s="35">
        <f t="shared" ca="1" si="112"/>
        <v>4008805.7284006802</v>
      </c>
      <c r="O218" s="35">
        <f t="shared" ca="1" si="112"/>
        <v>3972616.0220722822</v>
      </c>
      <c r="P218" s="35">
        <f t="shared" ca="1" si="112"/>
        <v>3938371.6741987197</v>
      </c>
      <c r="Q218" s="35">
        <f t="shared" ca="1" si="112"/>
        <v>3907408.1306946869</v>
      </c>
      <c r="R218" s="35">
        <f t="shared" ca="1" si="112"/>
        <v>3880442.0242869835</v>
      </c>
      <c r="S218" s="35">
        <f t="shared" ca="1" si="112"/>
        <v>3813155.4107035557</v>
      </c>
      <c r="T218" s="35">
        <f t="shared" ca="1" si="112"/>
        <v>3794350.4832488401</v>
      </c>
      <c r="U218" s="35">
        <f t="shared" ca="1" si="112"/>
        <v>3780044.7020271178</v>
      </c>
      <c r="V218" s="35">
        <f t="shared" ca="1" si="112"/>
        <v>3768186.6161069339</v>
      </c>
      <c r="W218" s="35">
        <f t="shared" ca="1" si="112"/>
        <v>3758715.6878711386</v>
      </c>
      <c r="X218" s="35">
        <f t="shared" ref="X218:X219" ca="1" si="113">(W13-W50/$B37)</f>
        <v>3751971.610899989</v>
      </c>
      <c r="Y218" s="35">
        <f t="shared" ref="Y218:Y219" ca="1" si="114">(X13-X50/$B37)</f>
        <v>3745829.7152490127</v>
      </c>
    </row>
    <row r="219" spans="4:25" customFormat="1">
      <c r="D219" s="7" t="s">
        <v>53</v>
      </c>
      <c r="E219" s="7"/>
      <c r="F219" s="35">
        <f ca="1">(E14-E51/$B38)</f>
        <v>571809.77193548391</v>
      </c>
      <c r="G219" s="35">
        <f t="shared" ref="G219:W219" ca="1" si="115">(F14-F51/$B38)</f>
        <v>565393.18293707224</v>
      </c>
      <c r="H219" s="35">
        <f t="shared" ca="1" si="115"/>
        <v>558746.03553080093</v>
      </c>
      <c r="I219" s="35">
        <f t="shared" ca="1" si="115"/>
        <v>551727.63859068719</v>
      </c>
      <c r="J219" s="35">
        <f t="shared" ca="1" si="115"/>
        <v>544219.93989562721</v>
      </c>
      <c r="K219" s="35">
        <f t="shared" ca="1" si="115"/>
        <v>536172.02802962763</v>
      </c>
      <c r="L219" s="35">
        <f t="shared" ca="1" si="115"/>
        <v>527631.79690170055</v>
      </c>
      <c r="M219" s="35">
        <f t="shared" ca="1" si="115"/>
        <v>518749.51138680644</v>
      </c>
      <c r="N219" s="35">
        <f t="shared" ca="1" si="115"/>
        <v>509749.98092796421</v>
      </c>
      <c r="O219" s="35">
        <f t="shared" ca="1" si="115"/>
        <v>500883.558936577</v>
      </c>
      <c r="P219" s="35">
        <f t="shared" ca="1" si="115"/>
        <v>492373.90786789468</v>
      </c>
      <c r="Q219" s="35">
        <f t="shared" ca="1" si="115"/>
        <v>484379.30753257498</v>
      </c>
      <c r="R219" s="35">
        <f t="shared" ca="1" si="115"/>
        <v>476976.41995958443</v>
      </c>
      <c r="S219" s="35">
        <f t="shared" ca="1" si="115"/>
        <v>468839.33530835493</v>
      </c>
      <c r="T219" s="35">
        <f t="shared" ca="1" si="115"/>
        <v>462505.27730791195</v>
      </c>
      <c r="U219" s="35">
        <f t="shared" ca="1" si="115"/>
        <v>456609.77291727974</v>
      </c>
      <c r="V219" s="35">
        <f t="shared" ca="1" si="115"/>
        <v>451098.65444245521</v>
      </c>
      <c r="W219" s="35">
        <f t="shared" ca="1" si="115"/>
        <v>445989.79139568331</v>
      </c>
      <c r="X219" s="35">
        <f t="shared" ca="1" si="113"/>
        <v>441086.58583347098</v>
      </c>
      <c r="Y219" s="35">
        <f t="shared" ca="1" si="114"/>
        <v>436329.49969987024</v>
      </c>
    </row>
    <row r="220" spans="4:25" customFormat="1">
      <c r="D220" s="7"/>
      <c r="E220" s="7"/>
      <c r="F220" s="35"/>
      <c r="G220" s="35"/>
      <c r="H220" s="35"/>
      <c r="I220" s="35"/>
      <c r="J220" s="35"/>
      <c r="K220" s="35"/>
      <c r="L220" s="35"/>
      <c r="M220" s="35"/>
      <c r="N220" s="35"/>
      <c r="O220" s="35"/>
      <c r="P220" s="35"/>
      <c r="Q220" s="35"/>
      <c r="R220" s="35"/>
      <c r="S220" s="35"/>
      <c r="T220" s="35"/>
      <c r="U220" s="35"/>
      <c r="V220" s="35"/>
      <c r="W220" s="35"/>
      <c r="X220" s="35"/>
      <c r="Y220" s="35"/>
    </row>
    <row r="221" spans="4:25" customFormat="1">
      <c r="D221" s="7" t="s">
        <v>584</v>
      </c>
      <c r="E221" s="7"/>
      <c r="F221" s="35">
        <f t="shared" ref="F221:Y221" ca="1" si="116">SUM(F218:F219)</f>
        <v>4773895.0493130144</v>
      </c>
      <c r="G221" s="35">
        <f t="shared" ca="1" si="116"/>
        <v>4755673.3407365577</v>
      </c>
      <c r="H221" s="35">
        <f t="shared" ca="1" si="116"/>
        <v>4734995.0557189435</v>
      </c>
      <c r="I221" s="35">
        <f t="shared" ca="1" si="116"/>
        <v>4710608.3826752715</v>
      </c>
      <c r="J221" s="35">
        <f t="shared" ca="1" si="116"/>
        <v>4681419.1840634998</v>
      </c>
      <c r="K221" s="35">
        <f t="shared" ca="1" si="116"/>
        <v>4646882.8741616039</v>
      </c>
      <c r="L221" s="35">
        <f t="shared" ca="1" si="116"/>
        <v>4607301.8721251022</v>
      </c>
      <c r="M221" s="35">
        <f t="shared" ca="1" si="116"/>
        <v>4563889.1000661599</v>
      </c>
      <c r="N221" s="35">
        <f t="shared" ca="1" si="116"/>
        <v>4518555.709328644</v>
      </c>
      <c r="O221" s="35">
        <f t="shared" ca="1" si="116"/>
        <v>4473499.581008859</v>
      </c>
      <c r="P221" s="35">
        <f t="shared" ca="1" si="116"/>
        <v>4430745.5820666142</v>
      </c>
      <c r="Q221" s="35">
        <f t="shared" ca="1" si="116"/>
        <v>4391787.4382272623</v>
      </c>
      <c r="R221" s="35">
        <f t="shared" ca="1" si="116"/>
        <v>4357418.4442465678</v>
      </c>
      <c r="S221" s="35">
        <f t="shared" ca="1" si="116"/>
        <v>4281994.746011911</v>
      </c>
      <c r="T221" s="35">
        <f t="shared" ca="1" si="116"/>
        <v>4256855.7605567519</v>
      </c>
      <c r="U221" s="35">
        <f t="shared" ca="1" si="116"/>
        <v>4236654.4749443978</v>
      </c>
      <c r="V221" s="35">
        <f t="shared" ca="1" si="116"/>
        <v>4219285.2705493895</v>
      </c>
      <c r="W221" s="35">
        <f t="shared" ca="1" si="116"/>
        <v>4204705.4792668223</v>
      </c>
      <c r="X221" s="35">
        <f t="shared" ca="1" si="116"/>
        <v>4193058.1967334598</v>
      </c>
      <c r="Y221" s="35">
        <f t="shared" ca="1" si="116"/>
        <v>4182159.2149488828</v>
      </c>
    </row>
    <row r="222" spans="4:25" customFormat="1"/>
    <row r="223" spans="4:25" customFormat="1"/>
    <row r="224" spans="4:25" customFormat="1"/>
    <row r="225" customFormat="1"/>
    <row r="226" customFormat="1"/>
    <row r="227" customFormat="1"/>
    <row r="228" customFormat="1"/>
    <row r="229" customFormat="1"/>
  </sheetData>
  <mergeCells count="2">
    <mergeCell ref="B1:T6"/>
    <mergeCell ref="U1:U6"/>
  </mergeCells>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sheetPr codeName="Sheet5"/>
  <dimension ref="A4:J12"/>
  <sheetViews>
    <sheetView workbookViewId="0">
      <selection activeCell="J11" sqref="J11"/>
    </sheetView>
  </sheetViews>
  <sheetFormatPr defaultRowHeight="12.75"/>
  <sheetData>
    <row r="4" spans="1:10" ht="15">
      <c r="A4" s="183" t="s">
        <v>538</v>
      </c>
      <c r="B4" s="184" t="s">
        <v>539</v>
      </c>
      <c r="C4" s="184" t="s">
        <v>540</v>
      </c>
      <c r="D4" s="184" t="s">
        <v>541</v>
      </c>
      <c r="E4" s="184" t="s">
        <v>542</v>
      </c>
      <c r="F4" s="184" t="s">
        <v>543</v>
      </c>
      <c r="G4" s="184" t="s">
        <v>544</v>
      </c>
      <c r="H4" s="184" t="s">
        <v>545</v>
      </c>
      <c r="J4" t="s">
        <v>579</v>
      </c>
    </row>
    <row r="5" spans="1:10">
      <c r="A5" s="185">
        <v>2010</v>
      </c>
      <c r="B5" s="186" t="s">
        <v>546</v>
      </c>
      <c r="C5" s="186" t="s">
        <v>547</v>
      </c>
      <c r="D5" s="186" t="s">
        <v>548</v>
      </c>
      <c r="E5" s="186" t="s">
        <v>453</v>
      </c>
      <c r="F5" s="186" t="s">
        <v>549</v>
      </c>
      <c r="G5" s="187">
        <v>3810.3</v>
      </c>
      <c r="H5" s="188">
        <v>4.3496573925949633E-4</v>
      </c>
      <c r="J5" s="202">
        <f t="shared" ref="J5:J6" si="0">G5/1000</f>
        <v>3.8103000000000002</v>
      </c>
    </row>
    <row r="6" spans="1:10">
      <c r="A6" s="189">
        <v>2011</v>
      </c>
      <c r="B6" s="190" t="s">
        <v>546</v>
      </c>
      <c r="C6" s="190" t="s">
        <v>547</v>
      </c>
      <c r="D6" s="190" t="s">
        <v>548</v>
      </c>
      <c r="E6" s="190" t="s">
        <v>453</v>
      </c>
      <c r="F6" s="190" t="s">
        <v>549</v>
      </c>
      <c r="G6" s="191">
        <v>446665.14775395847</v>
      </c>
      <c r="H6" s="192">
        <v>5.0989173949346878E-2</v>
      </c>
      <c r="J6" s="202">
        <f t="shared" si="0"/>
        <v>446.66514775395848</v>
      </c>
    </row>
    <row r="7" spans="1:10">
      <c r="A7" s="193">
        <v>2012</v>
      </c>
      <c r="B7" s="194" t="s">
        <v>546</v>
      </c>
      <c r="C7" s="194" t="s">
        <v>547</v>
      </c>
      <c r="D7" s="194" t="s">
        <v>548</v>
      </c>
      <c r="E7" s="194" t="s">
        <v>453</v>
      </c>
      <c r="F7" s="194" t="s">
        <v>549</v>
      </c>
      <c r="G7" s="195">
        <v>1933588.1285999757</v>
      </c>
      <c r="H7" s="196">
        <v>0.21638399723451585</v>
      </c>
      <c r="J7" s="202">
        <f>G7/1000</f>
        <v>1933.5881285999758</v>
      </c>
    </row>
    <row r="8" spans="1:10">
      <c r="A8" s="189">
        <v>2010</v>
      </c>
      <c r="B8" s="190" t="s">
        <v>546</v>
      </c>
      <c r="C8" s="190" t="s">
        <v>547</v>
      </c>
      <c r="D8" s="190" t="s">
        <v>548</v>
      </c>
      <c r="E8" s="190" t="s">
        <v>453</v>
      </c>
      <c r="F8" s="190" t="s">
        <v>550</v>
      </c>
      <c r="G8" s="191">
        <v>222463.17599999998</v>
      </c>
      <c r="H8" s="192">
        <v>2.5395340169779956E-2</v>
      </c>
      <c r="J8" s="202">
        <f>G8/1000</f>
        <v>222.46317599999998</v>
      </c>
    </row>
    <row r="9" spans="1:10" s="201" customFormat="1">
      <c r="A9" s="189">
        <v>2013</v>
      </c>
      <c r="B9" s="190" t="s">
        <v>546</v>
      </c>
      <c r="C9" s="190" t="s">
        <v>580</v>
      </c>
      <c r="D9" s="190" t="s">
        <v>581</v>
      </c>
      <c r="E9" s="190" t="s">
        <v>582</v>
      </c>
      <c r="F9" s="190"/>
      <c r="G9" s="191">
        <v>2724352.1298851413</v>
      </c>
      <c r="H9" s="192">
        <v>0.31099910281773191</v>
      </c>
      <c r="J9" s="202">
        <f>G9/1000</f>
        <v>2724.3521298851415</v>
      </c>
    </row>
    <row r="11" spans="1:10">
      <c r="G11" s="200">
        <f>AVERAGE(G5:G8)</f>
        <v>651631.68808848353</v>
      </c>
    </row>
    <row r="12" spans="1:10">
      <c r="G12">
        <f>G11/2000</f>
        <v>325.81584404424177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11"/>
  <dimension ref="A3:G65"/>
  <sheetViews>
    <sheetView topLeftCell="A22" workbookViewId="0">
      <selection activeCell="G23" sqref="G23"/>
    </sheetView>
  </sheetViews>
  <sheetFormatPr defaultRowHeight="12.75"/>
  <sheetData>
    <row r="3" spans="1:7">
      <c r="B3" t="s">
        <v>50</v>
      </c>
      <c r="C3" t="s">
        <v>53</v>
      </c>
    </row>
    <row r="4" spans="1:7">
      <c r="A4" s="164" t="s">
        <v>446</v>
      </c>
      <c r="B4" s="165">
        <f>[2]SATS!$C$17</f>
        <v>5.9888429585079297E-2</v>
      </c>
      <c r="C4" s="165">
        <f>[2]SATS!$F$17</f>
        <v>0.54052539788177201</v>
      </c>
      <c r="F4" t="s">
        <v>451</v>
      </c>
      <c r="G4" t="s">
        <v>452</v>
      </c>
    </row>
    <row r="5" spans="1:7">
      <c r="A5" s="164" t="s">
        <v>447</v>
      </c>
      <c r="B5" s="165">
        <f>[2]SATS!$C$28</f>
        <v>0.15830495514052295</v>
      </c>
      <c r="C5" s="165">
        <f>[2]SATS!$F$28</f>
        <v>0.14791660671834839</v>
      </c>
      <c r="F5" t="s">
        <v>50</v>
      </c>
      <c r="G5" s="165">
        <v>0.38</v>
      </c>
    </row>
    <row r="6" spans="1:7">
      <c r="A6" s="164" t="s">
        <v>448</v>
      </c>
      <c r="B6" s="165">
        <f>[2]SATS!$C$35+[2]SATS!$C$42</f>
        <v>0.1612921747924484</v>
      </c>
      <c r="C6" s="165">
        <f>[2]SATS!$F$35+[2]SATS!$F$42</f>
        <v>4.2196042988826669E-2</v>
      </c>
      <c r="F6" t="s">
        <v>53</v>
      </c>
      <c r="G6" s="165">
        <v>0.12</v>
      </c>
    </row>
    <row r="7" spans="1:7">
      <c r="A7" t="s">
        <v>449</v>
      </c>
      <c r="B7" s="166">
        <f>(1-SUM($B$4:$B$6))*$G$5</f>
        <v>0.23579548738314077</v>
      </c>
      <c r="C7" s="166">
        <f>(1-SUM($C$4:$C$6))*$G$6</f>
        <v>3.232343428932636E-2</v>
      </c>
    </row>
    <row r="8" spans="1:7">
      <c r="A8" t="s">
        <v>450</v>
      </c>
      <c r="B8" s="166">
        <f>(1-SUM($B$4:$B$6))*(1-$G$5)</f>
        <v>0.3847189530988086</v>
      </c>
      <c r="C8" s="166">
        <f>(1-SUM($C$4:$C$6))*(1-$G$6)</f>
        <v>0.23703851812172663</v>
      </c>
    </row>
    <row r="15" spans="1:7" ht="13.5" thickBot="1">
      <c r="F15" t="s">
        <v>585</v>
      </c>
    </row>
    <row r="16" spans="1:7">
      <c r="A16" s="146" t="s">
        <v>150</v>
      </c>
      <c r="B16" s="147" t="s">
        <v>151</v>
      </c>
      <c r="F16" s="177" t="s">
        <v>467</v>
      </c>
      <c r="G16" s="178"/>
    </row>
    <row r="17" spans="1:7">
      <c r="A17" s="148" t="s">
        <v>50</v>
      </c>
      <c r="B17" s="149">
        <v>0.55200000000000005</v>
      </c>
      <c r="F17" s="179" t="s">
        <v>443</v>
      </c>
      <c r="G17" s="180">
        <f>73.2%</f>
        <v>0.73199999999999998</v>
      </c>
    </row>
    <row r="18" spans="1:7" ht="13.5" thickBot="1">
      <c r="A18" s="148" t="s">
        <v>51</v>
      </c>
      <c r="B18" s="149">
        <v>0.94699999999999995</v>
      </c>
      <c r="F18" s="181" t="s">
        <v>466</v>
      </c>
      <c r="G18" s="182">
        <f>1-G17</f>
        <v>0.26800000000000002</v>
      </c>
    </row>
    <row r="19" spans="1:7">
      <c r="A19" s="148" t="s">
        <v>52</v>
      </c>
      <c r="B19" s="149">
        <v>0.94699999999999995</v>
      </c>
    </row>
    <row r="20" spans="1:7" ht="13.5" thickBot="1">
      <c r="A20" s="150" t="s">
        <v>53</v>
      </c>
      <c r="B20" s="151">
        <v>0.88900000000000001</v>
      </c>
    </row>
    <row r="21" spans="1:7" ht="13.5" thickBot="1">
      <c r="F21" t="s">
        <v>586</v>
      </c>
    </row>
    <row r="22" spans="1:7">
      <c r="F22" s="177" t="s">
        <v>468</v>
      </c>
      <c r="G22" s="178"/>
    </row>
    <row r="23" spans="1:7">
      <c r="F23" s="179" t="s">
        <v>443</v>
      </c>
      <c r="G23" s="180">
        <v>0.32800000000000001</v>
      </c>
    </row>
    <row r="24" spans="1:7" ht="13.5" thickBot="1">
      <c r="F24" s="181" t="s">
        <v>466</v>
      </c>
      <c r="G24" s="182">
        <f>1-G23</f>
        <v>0.67199999999999993</v>
      </c>
    </row>
    <row r="33" spans="2:2">
      <c r="B33" t="s">
        <v>432</v>
      </c>
    </row>
    <row r="34" spans="2:2">
      <c r="B34" t="s">
        <v>430</v>
      </c>
    </row>
    <row r="35" spans="2:2">
      <c r="B35" t="s">
        <v>431</v>
      </c>
    </row>
    <row r="63" spans="2:2">
      <c r="B63" t="s">
        <v>433</v>
      </c>
    </row>
    <row r="64" spans="2:2">
      <c r="B64" t="s">
        <v>430</v>
      </c>
    </row>
    <row r="65" spans="2:2">
      <c r="B65" t="s">
        <v>431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Sheet12"/>
  <dimension ref="A1:EA28"/>
  <sheetViews>
    <sheetView workbookViewId="0">
      <selection sqref="A1:EA28"/>
    </sheetView>
  </sheetViews>
  <sheetFormatPr defaultRowHeight="12.75"/>
  <sheetData>
    <row r="1" spans="1:131" ht="13.5" thickBot="1">
      <c r="A1" s="27" t="s">
        <v>45</v>
      </c>
      <c r="B1" s="28"/>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107"/>
      <c r="AT1" s="29"/>
      <c r="AU1" s="29"/>
      <c r="AV1" s="29"/>
      <c r="AW1" s="29"/>
      <c r="AX1" s="29"/>
      <c r="AY1" s="29"/>
      <c r="AZ1" s="107"/>
      <c r="BA1" s="29"/>
      <c r="BB1" s="29"/>
      <c r="BC1" s="29"/>
      <c r="BD1" s="29"/>
      <c r="BE1" s="29"/>
      <c r="BF1" s="29"/>
      <c r="BG1" s="29"/>
      <c r="BH1" s="107"/>
      <c r="BI1" s="29"/>
      <c r="BJ1" s="29"/>
      <c r="BK1" s="29"/>
      <c r="BL1" s="29"/>
      <c r="BM1" s="29"/>
      <c r="BN1" s="29"/>
      <c r="BO1" s="29"/>
      <c r="BP1" s="29"/>
      <c r="BQ1" s="29"/>
      <c r="BR1" s="29"/>
      <c r="BS1" s="29"/>
      <c r="BT1" s="29"/>
      <c r="BU1" s="29"/>
      <c r="BV1" s="29"/>
      <c r="BW1" s="29"/>
      <c r="BX1" s="29"/>
      <c r="BY1" s="29"/>
      <c r="BZ1" s="29"/>
      <c r="CA1" s="29"/>
      <c r="CB1" s="29"/>
      <c r="CC1" s="29"/>
      <c r="CD1" s="107"/>
      <c r="CE1" s="29"/>
      <c r="CF1" s="29"/>
      <c r="CG1" s="29"/>
      <c r="CH1" s="29"/>
      <c r="CI1" s="29"/>
      <c r="CJ1" s="29"/>
      <c r="CK1" s="29"/>
      <c r="CL1" s="29"/>
      <c r="CM1" s="29"/>
      <c r="CN1" s="29"/>
      <c r="CO1" s="29"/>
      <c r="CP1" s="29"/>
      <c r="CQ1" s="29"/>
      <c r="CR1" s="29"/>
      <c r="CS1" s="29"/>
      <c r="CT1" s="29"/>
      <c r="CU1" s="29"/>
      <c r="CV1" s="29"/>
      <c r="CW1" s="10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6"/>
      <c r="B2" s="37"/>
      <c r="C2" s="38"/>
      <c r="D2" s="38"/>
      <c r="E2" s="38"/>
      <c r="F2" s="38"/>
      <c r="G2" s="38"/>
      <c r="H2" s="38"/>
      <c r="I2" s="38"/>
      <c r="J2" s="38"/>
      <c r="K2" s="38"/>
      <c r="L2" s="38"/>
      <c r="M2" s="38"/>
      <c r="N2" s="38"/>
      <c r="O2" s="39" t="s">
        <v>559</v>
      </c>
      <c r="P2" s="40"/>
      <c r="Q2" s="40"/>
      <c r="R2" s="40"/>
      <c r="S2" s="40"/>
      <c r="T2" s="40"/>
      <c r="U2" s="40"/>
      <c r="V2" s="40"/>
      <c r="W2" s="40"/>
      <c r="X2" s="40"/>
      <c r="Y2" s="40"/>
      <c r="Z2" s="34"/>
      <c r="AA2" s="38"/>
      <c r="AB2" s="39" t="s">
        <v>560</v>
      </c>
      <c r="AC2" s="40"/>
      <c r="AD2" s="40"/>
      <c r="AE2" s="40"/>
      <c r="AF2" s="40"/>
      <c r="AG2" s="40"/>
      <c r="AH2" s="40"/>
      <c r="AI2" s="40"/>
      <c r="AJ2" s="40"/>
      <c r="AK2" s="40"/>
      <c r="AL2" s="40"/>
      <c r="AM2" s="34"/>
      <c r="AN2" s="29"/>
      <c r="AO2" s="29"/>
      <c r="AP2" s="29"/>
      <c r="AQ2" s="29"/>
      <c r="AR2" s="29"/>
      <c r="AS2" s="107"/>
      <c r="AT2" s="29"/>
      <c r="AU2" s="29"/>
      <c r="AV2" s="29"/>
      <c r="AW2" s="29"/>
      <c r="AX2" s="29"/>
      <c r="AY2" s="29"/>
      <c r="AZ2" s="107"/>
      <c r="BA2" s="29"/>
      <c r="BB2" s="29"/>
      <c r="BC2" s="29"/>
      <c r="BD2" s="29"/>
      <c r="BE2" s="29"/>
      <c r="BF2" s="29"/>
      <c r="BG2" s="29"/>
      <c r="BH2" s="107"/>
      <c r="BI2" s="29"/>
      <c r="BJ2" s="29"/>
      <c r="BK2" s="29"/>
      <c r="BL2" s="29"/>
      <c r="BM2" s="29"/>
      <c r="BN2" s="29"/>
      <c r="BO2" s="29"/>
      <c r="BP2" s="29"/>
      <c r="BQ2" s="29"/>
      <c r="BR2" s="29"/>
      <c r="BS2" s="29"/>
      <c r="BT2" s="29"/>
      <c r="BU2" s="29"/>
      <c r="BV2" s="29"/>
      <c r="BW2" s="29"/>
      <c r="BX2" s="29"/>
      <c r="BY2" s="29"/>
      <c r="BZ2" s="29"/>
      <c r="CA2" s="29"/>
      <c r="CB2" s="29"/>
      <c r="CC2" s="29"/>
      <c r="CD2" s="107"/>
      <c r="CE2" s="29"/>
      <c r="CF2" s="29"/>
      <c r="CG2" s="29"/>
      <c r="CH2" s="29"/>
      <c r="CI2" s="29"/>
      <c r="CJ2" s="29"/>
      <c r="CK2" s="29"/>
      <c r="CL2" s="29"/>
      <c r="CM2" s="29"/>
      <c r="CN2" s="29"/>
      <c r="CO2" s="29"/>
      <c r="CP2" s="29"/>
      <c r="CQ2" s="29"/>
      <c r="CR2" s="29"/>
      <c r="CS2" s="29"/>
      <c r="CT2" s="29"/>
      <c r="CU2" s="29"/>
      <c r="CV2" s="29"/>
      <c r="CW2" s="10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191.25">
      <c r="A3" s="30" t="s">
        <v>21</v>
      </c>
      <c r="B3" s="31" t="s">
        <v>22</v>
      </c>
      <c r="C3" s="32" t="s">
        <v>46</v>
      </c>
      <c r="D3" s="32" t="s">
        <v>25</v>
      </c>
      <c r="E3" s="32" t="s">
        <v>26</v>
      </c>
      <c r="F3" s="32" t="s">
        <v>27</v>
      </c>
      <c r="G3" s="32" t="s">
        <v>28</v>
      </c>
      <c r="H3" s="32" t="s">
        <v>29</v>
      </c>
      <c r="I3" s="32" t="s">
        <v>30</v>
      </c>
      <c r="J3" s="32" t="s">
        <v>31</v>
      </c>
      <c r="K3" s="32" t="s">
        <v>24</v>
      </c>
      <c r="L3" s="32" t="s">
        <v>23</v>
      </c>
      <c r="M3" s="32" t="s">
        <v>32</v>
      </c>
      <c r="N3" s="32" t="s">
        <v>561</v>
      </c>
      <c r="O3" s="32" t="s">
        <v>33</v>
      </c>
      <c r="P3" s="32" t="s">
        <v>34</v>
      </c>
      <c r="Q3" s="32" t="s">
        <v>35</v>
      </c>
      <c r="R3" s="32" t="s">
        <v>36</v>
      </c>
      <c r="S3" s="32" t="s">
        <v>37</v>
      </c>
      <c r="T3" s="32" t="s">
        <v>38</v>
      </c>
      <c r="U3" s="32" t="s">
        <v>39</v>
      </c>
      <c r="V3" s="32" t="s">
        <v>40</v>
      </c>
      <c r="W3" s="32" t="s">
        <v>41</v>
      </c>
      <c r="X3" s="32" t="s">
        <v>42</v>
      </c>
      <c r="Y3" s="32" t="s">
        <v>43</v>
      </c>
      <c r="Z3" s="32" t="s">
        <v>44</v>
      </c>
      <c r="AA3" s="32"/>
      <c r="AB3" s="32" t="s">
        <v>33</v>
      </c>
      <c r="AC3" s="32" t="s">
        <v>34</v>
      </c>
      <c r="AD3" s="32" t="s">
        <v>35</v>
      </c>
      <c r="AE3" s="32" t="s">
        <v>36</v>
      </c>
      <c r="AF3" s="32" t="s">
        <v>37</v>
      </c>
      <c r="AG3" s="32" t="s">
        <v>38</v>
      </c>
      <c r="AH3" s="32" t="s">
        <v>39</v>
      </c>
      <c r="AI3" s="32" t="s">
        <v>40</v>
      </c>
      <c r="AJ3" s="32" t="s">
        <v>41</v>
      </c>
      <c r="AK3" s="32" t="s">
        <v>42</v>
      </c>
      <c r="AL3" s="32" t="s">
        <v>43</v>
      </c>
      <c r="AM3" s="32" t="s">
        <v>44</v>
      </c>
      <c r="AN3" s="29"/>
      <c r="AO3" s="29"/>
      <c r="AP3" s="29"/>
      <c r="AQ3" s="29"/>
      <c r="AR3" s="29"/>
      <c r="AS3" s="107"/>
      <c r="AT3" s="29"/>
      <c r="AU3" s="29"/>
      <c r="AV3" s="29"/>
      <c r="AW3" s="29"/>
      <c r="AX3" s="29"/>
      <c r="AY3" s="29"/>
      <c r="AZ3" s="107"/>
      <c r="BA3" s="29"/>
      <c r="BB3" s="29"/>
      <c r="BC3" s="29"/>
      <c r="BD3" s="29"/>
      <c r="BE3" s="29"/>
      <c r="BF3" s="29"/>
      <c r="BG3" s="29"/>
      <c r="BH3" s="107"/>
      <c r="BI3" s="29"/>
      <c r="BJ3" s="29"/>
      <c r="BK3" s="29"/>
      <c r="BL3" s="29"/>
      <c r="BM3" s="29"/>
      <c r="BN3" s="29"/>
      <c r="BO3" s="29"/>
      <c r="BP3" s="29"/>
      <c r="BQ3" s="29"/>
      <c r="BR3" s="29"/>
      <c r="BS3" s="29"/>
      <c r="BT3" s="29"/>
      <c r="BU3" s="29"/>
      <c r="BV3" s="29"/>
      <c r="BW3" s="29"/>
      <c r="BX3" s="29"/>
      <c r="BY3" s="29"/>
      <c r="BZ3" s="29"/>
      <c r="CA3" s="29"/>
      <c r="CB3" s="29"/>
      <c r="CC3" s="29"/>
      <c r="CD3" s="107"/>
      <c r="CE3" s="29"/>
      <c r="CF3" s="29"/>
      <c r="CG3" s="29"/>
      <c r="CH3" s="29"/>
      <c r="CI3" s="29"/>
      <c r="CJ3" s="29"/>
      <c r="CK3" s="29"/>
      <c r="CL3" s="29"/>
      <c r="CM3" s="29"/>
      <c r="CN3" s="29"/>
      <c r="CO3" s="29"/>
      <c r="CP3" s="29"/>
      <c r="CQ3" s="29"/>
      <c r="CR3" s="29"/>
      <c r="CS3" s="29"/>
      <c r="CT3" s="29"/>
      <c r="CU3" s="29"/>
      <c r="CV3" s="29"/>
      <c r="CW3" s="10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487</v>
      </c>
      <c r="B4" s="7"/>
      <c r="C4" s="35">
        <v>1182.3091174891661</v>
      </c>
      <c r="D4" s="35">
        <v>724.5875237038573</v>
      </c>
      <c r="E4" s="35">
        <v>144.91750474077148</v>
      </c>
      <c r="F4" s="35">
        <v>869.50502844462881</v>
      </c>
      <c r="G4" s="35">
        <v>1147.7784165052387</v>
      </c>
      <c r="H4" s="35">
        <v>758.44393887932233</v>
      </c>
      <c r="I4" s="35">
        <v>6442.3626076323008</v>
      </c>
      <c r="J4" s="35">
        <v>24.369703215790437</v>
      </c>
      <c r="K4" s="35">
        <v>61.951432106144111</v>
      </c>
      <c r="L4" s="107">
        <v>0.68273844494599789</v>
      </c>
      <c r="M4" s="35">
        <v>11.194443688293612</v>
      </c>
      <c r="N4" s="35">
        <v>0.30033181865349817</v>
      </c>
      <c r="O4" s="35">
        <v>67.175244856328348</v>
      </c>
      <c r="P4" s="35">
        <v>59.386639881456667</v>
      </c>
      <c r="Q4" s="35">
        <v>72.400224933607063</v>
      </c>
      <c r="R4" s="35">
        <v>73.940071263095021</v>
      </c>
      <c r="S4" s="35">
        <v>79.985507400545828</v>
      </c>
      <c r="T4" s="35">
        <v>89.654571991942817</v>
      </c>
      <c r="U4" s="35">
        <v>34.212027120725203</v>
      </c>
      <c r="V4" s="35">
        <v>39.555072152198456</v>
      </c>
      <c r="W4" s="35">
        <v>58.342085308220092</v>
      </c>
      <c r="X4" s="35">
        <v>80.383038487537902</v>
      </c>
      <c r="Y4" s="35">
        <v>77.822407976704469</v>
      </c>
      <c r="Z4" s="35">
        <v>69.502686122410893</v>
      </c>
      <c r="AA4" s="35"/>
      <c r="AB4" s="35">
        <v>30.131672272487638</v>
      </c>
      <c r="AC4" s="35">
        <v>24.871498558633323</v>
      </c>
      <c r="AD4" s="35">
        <v>26.318671843240619</v>
      </c>
      <c r="AE4" s="35">
        <v>33.490865843680425</v>
      </c>
      <c r="AF4" s="35">
        <v>40.41643824837967</v>
      </c>
      <c r="AG4" s="35">
        <v>36.988788944547771</v>
      </c>
      <c r="AH4" s="35">
        <v>28.243625256738991</v>
      </c>
      <c r="AI4" s="35">
        <v>22.107002584183082</v>
      </c>
      <c r="AJ4" s="35">
        <v>33.819926239008552</v>
      </c>
      <c r="AK4" s="35">
        <v>32.500292467996658</v>
      </c>
      <c r="AL4" s="35">
        <v>40.923422099207606</v>
      </c>
      <c r="AM4" s="29">
        <v>30.137335636288501</v>
      </c>
      <c r="AN4" s="29"/>
      <c r="AO4" s="29"/>
      <c r="AP4" s="29"/>
      <c r="AQ4" s="29"/>
      <c r="AR4" s="29"/>
      <c r="AS4" s="107"/>
      <c r="AT4" s="29"/>
      <c r="AU4" s="29"/>
      <c r="AV4" s="29"/>
      <c r="AW4" s="29"/>
      <c r="AX4" s="29"/>
      <c r="AY4" s="29"/>
      <c r="AZ4" s="107"/>
      <c r="BA4" s="29"/>
      <c r="BB4" s="29"/>
      <c r="BC4" s="29"/>
      <c r="BD4" s="29"/>
      <c r="BE4" s="29"/>
      <c r="BF4" s="29"/>
      <c r="BG4" s="29"/>
      <c r="BH4" s="107"/>
      <c r="BI4" s="29"/>
      <c r="BJ4" s="29"/>
      <c r="BK4" s="29"/>
      <c r="BL4" s="29"/>
      <c r="BM4" s="29"/>
      <c r="BN4" s="29"/>
      <c r="BO4" s="29"/>
      <c r="BP4" s="29"/>
      <c r="BQ4" s="29"/>
      <c r="BR4" s="29"/>
      <c r="BS4" s="29"/>
      <c r="BT4" s="29"/>
      <c r="BU4" s="29"/>
      <c r="BV4" s="29"/>
      <c r="BW4" s="29"/>
      <c r="BX4" s="29"/>
      <c r="BY4" s="29"/>
      <c r="BZ4" s="29"/>
      <c r="CA4" s="29"/>
      <c r="CB4" s="29"/>
      <c r="CC4" s="29"/>
      <c r="CD4" s="107"/>
      <c r="CE4" s="29"/>
      <c r="CF4" s="29"/>
      <c r="CG4" s="29"/>
      <c r="CH4" s="29"/>
      <c r="CI4" s="29"/>
      <c r="CJ4" s="29"/>
      <c r="CK4" s="29"/>
      <c r="CL4" s="29"/>
      <c r="CM4" s="29"/>
      <c r="CN4" s="29"/>
      <c r="CO4" s="29"/>
      <c r="CP4" s="29"/>
      <c r="CQ4" s="29"/>
      <c r="CR4" s="29"/>
      <c r="CS4" s="29"/>
      <c r="CT4" s="29"/>
      <c r="CU4" s="29"/>
      <c r="CV4" s="29"/>
      <c r="CW4" s="10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475</v>
      </c>
      <c r="B5" s="7"/>
      <c r="C5" s="35">
        <v>1178.5826717098373</v>
      </c>
      <c r="D5" s="35">
        <v>724.58752370386082</v>
      </c>
      <c r="E5" s="35">
        <v>144.91750474077216</v>
      </c>
      <c r="F5" s="35">
        <v>869.50502844463301</v>
      </c>
      <c r="G5" s="35">
        <v>1147.7784165052444</v>
      </c>
      <c r="H5" s="35">
        <v>756.67663331884546</v>
      </c>
      <c r="I5" s="35">
        <v>6462.7320866042974</v>
      </c>
      <c r="J5" s="35">
        <v>24.53534549722675</v>
      </c>
      <c r="K5" s="35">
        <v>62.140138137376972</v>
      </c>
      <c r="L5" s="107">
        <v>0.68089945280961583</v>
      </c>
      <c r="M5" s="35">
        <v>11.155473417845144</v>
      </c>
      <c r="N5" s="35">
        <v>0.29849283256234388</v>
      </c>
      <c r="O5" s="35">
        <v>66.763918672128071</v>
      </c>
      <c r="P5" s="35">
        <v>59.023004735397137</v>
      </c>
      <c r="Q5" s="35">
        <v>71.956905250576881</v>
      </c>
      <c r="R5" s="35">
        <v>73.513249714074973</v>
      </c>
      <c r="S5" s="35">
        <v>79.622803482952122</v>
      </c>
      <c r="T5" s="35">
        <v>89.249367800785535</v>
      </c>
      <c r="U5" s="35">
        <v>34.986085772627803</v>
      </c>
      <c r="V5" s="35">
        <v>40.30003268853428</v>
      </c>
      <c r="W5" s="35">
        <v>58.382558401603852</v>
      </c>
      <c r="X5" s="35">
        <v>79.961680405081481</v>
      </c>
      <c r="Y5" s="35">
        <v>77.345887285387334</v>
      </c>
      <c r="Z5" s="35">
        <v>69.077108594029056</v>
      </c>
      <c r="AA5" s="35"/>
      <c r="AB5" s="35">
        <v>29.947170588780743</v>
      </c>
      <c r="AC5" s="35">
        <v>24.719205870763776</v>
      </c>
      <c r="AD5" s="35">
        <v>26.15751785138465</v>
      </c>
      <c r="AE5" s="35">
        <v>33.292959171860502</v>
      </c>
      <c r="AF5" s="35">
        <v>40.207671939497487</v>
      </c>
      <c r="AG5" s="35">
        <v>36.794508712028552</v>
      </c>
      <c r="AH5" s="35">
        <v>28.385146726810323</v>
      </c>
      <c r="AI5" s="35">
        <v>22.186175562671423</v>
      </c>
      <c r="AJ5" s="35">
        <v>33.760258131138208</v>
      </c>
      <c r="AK5" s="35">
        <v>32.323814499134876</v>
      </c>
      <c r="AL5" s="35">
        <v>40.672840577808088</v>
      </c>
      <c r="AM5" s="29">
        <v>29.952799274779878</v>
      </c>
      <c r="AN5" s="29"/>
      <c r="AO5" s="29"/>
      <c r="AP5" s="29"/>
      <c r="AQ5" s="29"/>
      <c r="AR5" s="29"/>
      <c r="AS5" s="107"/>
      <c r="AT5" s="29"/>
      <c r="AU5" s="29"/>
      <c r="AV5" s="29"/>
      <c r="AW5" s="29"/>
      <c r="AX5" s="29"/>
      <c r="AY5" s="29"/>
      <c r="AZ5" s="107"/>
      <c r="BA5" s="29"/>
      <c r="BB5" s="29"/>
      <c r="BC5" s="29"/>
      <c r="BD5" s="29"/>
      <c r="BE5" s="29"/>
      <c r="BF5" s="29"/>
      <c r="BG5" s="29"/>
      <c r="BH5" s="107"/>
      <c r="BI5" s="29"/>
      <c r="BJ5" s="29"/>
      <c r="BK5" s="29"/>
      <c r="BL5" s="29"/>
      <c r="BM5" s="29"/>
      <c r="BN5" s="29"/>
      <c r="BO5" s="29"/>
      <c r="BP5" s="29"/>
      <c r="BQ5" s="29"/>
      <c r="BR5" s="29"/>
      <c r="BS5" s="29"/>
      <c r="BT5" s="29"/>
      <c r="BU5" s="29"/>
      <c r="BV5" s="29"/>
      <c r="BW5" s="29"/>
      <c r="BX5" s="29"/>
      <c r="BY5" s="29"/>
      <c r="BZ5" s="29"/>
      <c r="CA5" s="29"/>
      <c r="CB5" s="29"/>
      <c r="CC5" s="29"/>
      <c r="CD5" s="107"/>
      <c r="CE5" s="29"/>
      <c r="CF5" s="29"/>
      <c r="CG5" s="29"/>
      <c r="CH5" s="29"/>
      <c r="CI5" s="29"/>
      <c r="CJ5" s="29"/>
      <c r="CK5" s="29"/>
      <c r="CL5" s="29"/>
      <c r="CM5" s="29"/>
      <c r="CN5" s="29"/>
      <c r="CO5" s="29"/>
      <c r="CP5" s="29"/>
      <c r="CQ5" s="29"/>
      <c r="CR5" s="29"/>
      <c r="CS5" s="29"/>
      <c r="CT5" s="29"/>
      <c r="CU5" s="29"/>
      <c r="CV5" s="29"/>
      <c r="CW5" s="10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471</v>
      </c>
      <c r="B6" s="7"/>
      <c r="C6" s="35">
        <v>1121.4904168963346</v>
      </c>
      <c r="D6" s="35">
        <v>724.5875237038573</v>
      </c>
      <c r="E6" s="35">
        <v>144.91750474077148</v>
      </c>
      <c r="F6" s="35">
        <v>869.50502844462881</v>
      </c>
      <c r="G6" s="35">
        <v>1147.7784165052387</v>
      </c>
      <c r="H6" s="35">
        <v>768.60485076900204</v>
      </c>
      <c r="I6" s="35">
        <v>6791.7335132066628</v>
      </c>
      <c r="J6" s="35">
        <v>28.261121548784736</v>
      </c>
      <c r="K6" s="35">
        <v>62.671853732153288</v>
      </c>
      <c r="L6" s="107">
        <v>0.66964567351706594</v>
      </c>
      <c r="M6" s="35">
        <v>10.654286564049743</v>
      </c>
      <c r="N6" s="35">
        <v>0.24957019939213321</v>
      </c>
      <c r="O6" s="35">
        <v>55.821388856317583</v>
      </c>
      <c r="P6" s="35">
        <v>49.349201663784726</v>
      </c>
      <c r="Q6" s="35">
        <v>60.16325038078714</v>
      </c>
      <c r="R6" s="35">
        <v>62.468776687174461</v>
      </c>
      <c r="S6" s="35">
        <v>71.494391757248707</v>
      </c>
      <c r="T6" s="35">
        <v>80.190238777804836</v>
      </c>
      <c r="U6" s="35">
        <v>67.349029613039406</v>
      </c>
      <c r="V6" s="35">
        <v>71.932180278638</v>
      </c>
      <c r="W6" s="35">
        <v>64.218906548729947</v>
      </c>
      <c r="X6" s="35">
        <v>69.600073570856154</v>
      </c>
      <c r="Y6" s="35">
        <v>64.668984313331691</v>
      </c>
      <c r="Z6" s="35">
        <v>57.755449756035766</v>
      </c>
      <c r="AA6" s="35"/>
      <c r="AB6" s="35">
        <v>25.038863847959643</v>
      </c>
      <c r="AC6" s="35">
        <v>20.667756462979366</v>
      </c>
      <c r="AD6" s="35">
        <v>21.870330602241363</v>
      </c>
      <c r="AE6" s="35">
        <v>28.113773539506127</v>
      </c>
      <c r="AF6" s="35">
        <v>35.117125600744593</v>
      </c>
      <c r="AG6" s="35">
        <v>32.011522589806923</v>
      </c>
      <c r="AH6" s="35">
        <v>35.913392084015449</v>
      </c>
      <c r="AI6" s="35">
        <v>26.859913922098357</v>
      </c>
      <c r="AJ6" s="35">
        <v>33.937129612246721</v>
      </c>
      <c r="AK6" s="35">
        <v>27.898557937161815</v>
      </c>
      <c r="AL6" s="35">
        <v>34.006608357597862</v>
      </c>
      <c r="AM6" s="29">
        <v>25.043570136227579</v>
      </c>
      <c r="AN6" s="29"/>
      <c r="AO6" s="29"/>
      <c r="AP6" s="29"/>
      <c r="AQ6" s="29"/>
      <c r="AR6" s="29"/>
      <c r="AS6" s="107"/>
      <c r="AT6" s="29"/>
      <c r="AU6" s="29"/>
      <c r="AV6" s="29"/>
      <c r="AW6" s="29"/>
      <c r="AX6" s="29"/>
      <c r="AY6" s="29"/>
      <c r="AZ6" s="107"/>
      <c r="BA6" s="29"/>
      <c r="BB6" s="29"/>
      <c r="BC6" s="29"/>
      <c r="BD6" s="29"/>
      <c r="BE6" s="29"/>
      <c r="BF6" s="29"/>
      <c r="BG6" s="29"/>
      <c r="BH6" s="107"/>
      <c r="BI6" s="29"/>
      <c r="BJ6" s="29"/>
      <c r="BK6" s="29"/>
      <c r="BL6" s="29"/>
      <c r="BM6" s="29"/>
      <c r="BN6" s="29"/>
      <c r="BO6" s="29"/>
      <c r="BP6" s="29"/>
      <c r="BQ6" s="29"/>
      <c r="BR6" s="29"/>
      <c r="BS6" s="29"/>
      <c r="BT6" s="29"/>
      <c r="BU6" s="29"/>
      <c r="BV6" s="29"/>
      <c r="BW6" s="29"/>
      <c r="BX6" s="29"/>
      <c r="BY6" s="29"/>
      <c r="BZ6" s="29"/>
      <c r="CA6" s="29"/>
      <c r="CB6" s="29"/>
      <c r="CC6" s="29"/>
      <c r="CD6" s="107"/>
      <c r="CE6" s="29"/>
      <c r="CF6" s="29"/>
      <c r="CG6" s="29"/>
      <c r="CH6" s="29"/>
      <c r="CI6" s="29"/>
      <c r="CJ6" s="29"/>
      <c r="CK6" s="29"/>
      <c r="CL6" s="29"/>
      <c r="CM6" s="29"/>
      <c r="CN6" s="29"/>
      <c r="CO6" s="29"/>
      <c r="CP6" s="29"/>
      <c r="CQ6" s="29"/>
      <c r="CR6" s="29"/>
      <c r="CS6" s="29"/>
      <c r="CT6" s="29"/>
      <c r="CU6" s="29"/>
      <c r="CV6" s="29"/>
      <c r="CW6" s="10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485</v>
      </c>
      <c r="B7" s="7"/>
      <c r="C7" s="35">
        <v>1367.6145062653491</v>
      </c>
      <c r="D7" s="35">
        <v>724.5875237038573</v>
      </c>
      <c r="E7" s="35">
        <v>144.91750474077148</v>
      </c>
      <c r="F7" s="35">
        <v>869.50502844462881</v>
      </c>
      <c r="G7" s="35">
        <v>1147.7784165052387</v>
      </c>
      <c r="H7" s="35">
        <v>578.7373848488354</v>
      </c>
      <c r="I7" s="35">
        <v>5569.4525133218349</v>
      </c>
      <c r="J7" s="35">
        <v>21.397377314435836</v>
      </c>
      <c r="K7" s="35">
        <v>68.411966327303134</v>
      </c>
      <c r="L7" s="107">
        <v>0.61991423914801769</v>
      </c>
      <c r="M7" s="35">
        <v>10.749637147601433</v>
      </c>
      <c r="N7" s="35">
        <v>0.29239115223298567</v>
      </c>
      <c r="O7" s="35">
        <v>65.483673404918065</v>
      </c>
      <c r="P7" s="35">
        <v>58.152451304194301</v>
      </c>
      <c r="Q7" s="35">
        <v>71.281827066511369</v>
      </c>
      <c r="R7" s="35">
        <v>74.52319390997215</v>
      </c>
      <c r="S7" s="35">
        <v>86.867530884106714</v>
      </c>
      <c r="T7" s="35">
        <v>97.756118862523337</v>
      </c>
      <c r="U7" s="35">
        <v>90.318365147601426</v>
      </c>
      <c r="V7" s="35">
        <v>95.871903437791957</v>
      </c>
      <c r="W7" s="35">
        <v>80.839270557877711</v>
      </c>
      <c r="X7" s="35">
        <v>83.737587238293216</v>
      </c>
      <c r="Y7" s="35">
        <v>76.733539827225798</v>
      </c>
      <c r="Z7" s="35">
        <v>67.531338588891288</v>
      </c>
      <c r="AA7" s="35"/>
      <c r="AB7" s="35">
        <v>29.056457791152773</v>
      </c>
      <c r="AC7" s="35">
        <v>24.06596450056475</v>
      </c>
      <c r="AD7" s="35">
        <v>25.694684555980427</v>
      </c>
      <c r="AE7" s="35">
        <v>33.36456735292132</v>
      </c>
      <c r="AF7" s="35">
        <v>42.415403970241641</v>
      </c>
      <c r="AG7" s="35">
        <v>38.774713833977607</v>
      </c>
      <c r="AH7" s="35">
        <v>46.176075257210272</v>
      </c>
      <c r="AI7" s="35">
        <v>34.341388675215917</v>
      </c>
      <c r="AJ7" s="35">
        <v>42.117992884977056</v>
      </c>
      <c r="AK7" s="35">
        <v>33.431010043596871</v>
      </c>
      <c r="AL7" s="35">
        <v>40.211018392542421</v>
      </c>
      <c r="AM7" s="29">
        <v>28.868428777060434</v>
      </c>
      <c r="AN7" s="29"/>
      <c r="AO7" s="29"/>
      <c r="AP7" s="29"/>
      <c r="AQ7" s="29"/>
      <c r="AR7" s="29"/>
      <c r="AS7" s="107"/>
      <c r="AT7" s="29"/>
      <c r="AU7" s="29"/>
      <c r="AV7" s="29"/>
      <c r="AW7" s="29"/>
      <c r="AX7" s="29"/>
      <c r="AY7" s="29"/>
      <c r="AZ7" s="107"/>
      <c r="BA7" s="29"/>
      <c r="BB7" s="29"/>
      <c r="BC7" s="29"/>
      <c r="BD7" s="29"/>
      <c r="BE7" s="29"/>
      <c r="BF7" s="29"/>
      <c r="BG7" s="29"/>
      <c r="BH7" s="107"/>
      <c r="BI7" s="29"/>
      <c r="BJ7" s="29"/>
      <c r="BK7" s="29"/>
      <c r="BL7" s="29"/>
      <c r="BM7" s="29"/>
      <c r="BN7" s="29"/>
      <c r="BO7" s="29"/>
      <c r="BP7" s="29"/>
      <c r="BQ7" s="29"/>
      <c r="BR7" s="29"/>
      <c r="BS7" s="29"/>
      <c r="BT7" s="29"/>
      <c r="BU7" s="29"/>
      <c r="BV7" s="29"/>
      <c r="BW7" s="29"/>
      <c r="BX7" s="29"/>
      <c r="BY7" s="29"/>
      <c r="BZ7" s="29"/>
      <c r="CA7" s="29"/>
      <c r="CB7" s="29"/>
      <c r="CC7" s="29"/>
      <c r="CD7" s="107"/>
      <c r="CE7" s="29"/>
      <c r="CF7" s="29"/>
      <c r="CG7" s="29"/>
      <c r="CH7" s="29"/>
      <c r="CI7" s="29"/>
      <c r="CJ7" s="29"/>
      <c r="CK7" s="29"/>
      <c r="CL7" s="29"/>
      <c r="CM7" s="29"/>
      <c r="CN7" s="29"/>
      <c r="CO7" s="29"/>
      <c r="CP7" s="29"/>
      <c r="CQ7" s="29"/>
      <c r="CR7" s="29"/>
      <c r="CS7" s="29"/>
      <c r="CT7" s="29"/>
      <c r="CU7" s="29"/>
      <c r="CV7" s="29"/>
      <c r="CW7" s="10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t="s">
        <v>484</v>
      </c>
      <c r="B8" s="7"/>
      <c r="C8" s="35">
        <v>1351.2543502462204</v>
      </c>
      <c r="D8" s="35">
        <v>724.5875237038573</v>
      </c>
      <c r="E8" s="35">
        <v>144.91750474077148</v>
      </c>
      <c r="F8" s="35">
        <v>869.50502844462881</v>
      </c>
      <c r="G8" s="35">
        <v>1147.7784165052387</v>
      </c>
      <c r="H8" s="35">
        <v>576.69665959373583</v>
      </c>
      <c r="I8" s="35">
        <v>5636.8840165339943</v>
      </c>
      <c r="J8" s="35">
        <v>21.48281160492397</v>
      </c>
      <c r="K8" s="35">
        <v>68.882019400713702</v>
      </c>
      <c r="L8" s="107">
        <v>0.61768545196551228</v>
      </c>
      <c r="M8" s="35">
        <v>10.613260239876858</v>
      </c>
      <c r="N8" s="35">
        <v>0.29652353065166898</v>
      </c>
      <c r="O8" s="35">
        <v>66.400845982660599</v>
      </c>
      <c r="P8" s="35">
        <v>58.941283697638553</v>
      </c>
      <c r="Q8" s="35">
        <v>72.210995173130371</v>
      </c>
      <c r="R8" s="35">
        <v>75.220628219844897</v>
      </c>
      <c r="S8" s="35">
        <v>86.689962608799831</v>
      </c>
      <c r="T8" s="35">
        <v>97.518936992931856</v>
      </c>
      <c r="U8" s="35">
        <v>81.959150135638467</v>
      </c>
      <c r="V8" s="35">
        <v>87.541761896431936</v>
      </c>
      <c r="W8" s="35">
        <v>77.98842359648178</v>
      </c>
      <c r="X8" s="35">
        <v>84.091954725047529</v>
      </c>
      <c r="Y8" s="35">
        <v>77.722755507409403</v>
      </c>
      <c r="Z8" s="35">
        <v>68.498912219004268</v>
      </c>
      <c r="AA8" s="35"/>
      <c r="AB8" s="35">
        <v>29.494505665110928</v>
      </c>
      <c r="AC8" s="35">
        <v>24.420638175241429</v>
      </c>
      <c r="AD8" s="35">
        <v>26.050761303828779</v>
      </c>
      <c r="AE8" s="35">
        <v>33.732104190098894</v>
      </c>
      <c r="AF8" s="35">
        <v>42.554615501169124</v>
      </c>
      <c r="AG8" s="35">
        <v>38.918970584062144</v>
      </c>
      <c r="AH8" s="35">
        <v>43.703530782840417</v>
      </c>
      <c r="AI8" s="35">
        <v>32.687241183415644</v>
      </c>
      <c r="AJ8" s="35">
        <v>41.205366138702786</v>
      </c>
      <c r="AK8" s="35">
        <v>33.635176959444543</v>
      </c>
      <c r="AL8" s="35">
        <v>40.742977114193629</v>
      </c>
      <c r="AM8" s="29">
        <v>29.322851893092185</v>
      </c>
      <c r="AN8" s="29"/>
      <c r="AO8" s="29"/>
      <c r="AP8" s="29"/>
      <c r="AQ8" s="29"/>
      <c r="AR8" s="29"/>
      <c r="AS8" s="107"/>
      <c r="AT8" s="29"/>
      <c r="AU8" s="29"/>
      <c r="AV8" s="29"/>
      <c r="AW8" s="29"/>
      <c r="AX8" s="29"/>
      <c r="AY8" s="29"/>
      <c r="AZ8" s="107"/>
      <c r="BA8" s="29"/>
      <c r="BB8" s="29"/>
      <c r="BC8" s="29"/>
      <c r="BD8" s="29"/>
      <c r="BE8" s="29"/>
      <c r="BF8" s="29"/>
      <c r="BG8" s="29"/>
      <c r="BH8" s="107"/>
      <c r="BI8" s="29"/>
      <c r="BJ8" s="29"/>
      <c r="BK8" s="29"/>
      <c r="BL8" s="29"/>
      <c r="BM8" s="29"/>
      <c r="BN8" s="29"/>
      <c r="BO8" s="29"/>
      <c r="BP8" s="29"/>
      <c r="BQ8" s="29"/>
      <c r="BR8" s="29"/>
      <c r="BS8" s="29"/>
      <c r="BT8" s="29"/>
      <c r="BU8" s="29"/>
      <c r="BV8" s="29"/>
      <c r="BW8" s="29"/>
      <c r="BX8" s="29"/>
      <c r="BY8" s="29"/>
      <c r="BZ8" s="29"/>
      <c r="CA8" s="29"/>
      <c r="CB8" s="29"/>
      <c r="CC8" s="29"/>
      <c r="CD8" s="107"/>
      <c r="CE8" s="29"/>
      <c r="CF8" s="29"/>
      <c r="CG8" s="29"/>
      <c r="CH8" s="29"/>
      <c r="CI8" s="29"/>
      <c r="CJ8" s="29"/>
      <c r="CK8" s="29"/>
      <c r="CL8" s="29"/>
      <c r="CM8" s="29"/>
      <c r="CN8" s="29"/>
      <c r="CO8" s="29"/>
      <c r="CP8" s="29"/>
      <c r="CQ8" s="29"/>
      <c r="CR8" s="29"/>
      <c r="CS8" s="29"/>
      <c r="CT8" s="29"/>
      <c r="CU8" s="29"/>
      <c r="CV8" s="29"/>
      <c r="CW8" s="10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c r="A9" s="7" t="s">
        <v>473</v>
      </c>
      <c r="B9" s="7"/>
      <c r="C9" s="35">
        <v>1358.6845229206428</v>
      </c>
      <c r="D9" s="35">
        <v>724.58752370386082</v>
      </c>
      <c r="E9" s="35">
        <v>144.91750474077216</v>
      </c>
      <c r="F9" s="35">
        <v>869.50502844463301</v>
      </c>
      <c r="G9" s="35">
        <v>1147.7784165052444</v>
      </c>
      <c r="H9" s="35">
        <v>568.2692049499135</v>
      </c>
      <c r="I9" s="35">
        <v>5606.0578601437901</v>
      </c>
      <c r="J9" s="35">
        <v>21.618044896394199</v>
      </c>
      <c r="K9" s="35">
        <v>69.179824093007909</v>
      </c>
      <c r="L9" s="107">
        <v>0.6140558887367662</v>
      </c>
      <c r="M9" s="35">
        <v>10.633399822748316</v>
      </c>
      <c r="N9" s="35">
        <v>0.29047592546166073</v>
      </c>
      <c r="O9" s="35">
        <v>65.056103127780077</v>
      </c>
      <c r="P9" s="35">
        <v>57.776955153366963</v>
      </c>
      <c r="Q9" s="35">
        <v>70.827742794532142</v>
      </c>
      <c r="R9" s="35">
        <v>74.0504061780901</v>
      </c>
      <c r="S9" s="35">
        <v>86.318310029747934</v>
      </c>
      <c r="T9" s="35">
        <v>97.142887880019089</v>
      </c>
      <c r="U9" s="35">
        <v>89.676294159224483</v>
      </c>
      <c r="V9" s="35">
        <v>95.195559104583481</v>
      </c>
      <c r="W9" s="35">
        <v>80.305248775319441</v>
      </c>
      <c r="X9" s="35">
        <v>83.207591327152542</v>
      </c>
      <c r="Y9" s="35">
        <v>76.246532308944722</v>
      </c>
      <c r="Z9" s="35">
        <v>67.086838027688501</v>
      </c>
      <c r="AA9" s="35"/>
      <c r="AB9" s="35">
        <v>28.861641938535993</v>
      </c>
      <c r="AC9" s="35">
        <v>23.905942572728694</v>
      </c>
      <c r="AD9" s="35">
        <v>25.527537083128369</v>
      </c>
      <c r="AE9" s="35">
        <v>33.15119801703014</v>
      </c>
      <c r="AF9" s="35">
        <v>42.148863966007013</v>
      </c>
      <c r="AG9" s="35">
        <v>38.533534984531322</v>
      </c>
      <c r="AH9" s="35">
        <v>45.86475387955668</v>
      </c>
      <c r="AI9" s="35">
        <v>34.11161429371019</v>
      </c>
      <c r="AJ9" s="35">
        <v>41.844979177011965</v>
      </c>
      <c r="AK9" s="35">
        <v>33.218678586886661</v>
      </c>
      <c r="AL9" s="35">
        <v>39.953584556289556</v>
      </c>
      <c r="AM9" s="29">
        <v>28.671724998776305</v>
      </c>
      <c r="AN9" s="29"/>
      <c r="AO9" s="29"/>
      <c r="AP9" s="29"/>
      <c r="AQ9" s="29"/>
      <c r="AR9" s="29"/>
      <c r="AS9" s="107"/>
      <c r="AT9" s="29"/>
      <c r="AU9" s="29"/>
      <c r="AV9" s="29"/>
      <c r="AW9" s="29"/>
      <c r="AX9" s="29"/>
      <c r="AY9" s="29"/>
      <c r="AZ9" s="107"/>
      <c r="BA9" s="29"/>
      <c r="BB9" s="29"/>
      <c r="BC9" s="29"/>
      <c r="BD9" s="29"/>
      <c r="BE9" s="29"/>
      <c r="BF9" s="29"/>
      <c r="BG9" s="29"/>
      <c r="BH9" s="107"/>
      <c r="BI9" s="29"/>
      <c r="BJ9" s="29"/>
      <c r="BK9" s="29"/>
      <c r="BL9" s="29"/>
      <c r="BM9" s="29"/>
      <c r="BN9" s="29"/>
      <c r="BO9" s="29"/>
      <c r="BP9" s="29"/>
      <c r="BQ9" s="29"/>
      <c r="BR9" s="29"/>
      <c r="BS9" s="29"/>
      <c r="BT9" s="29"/>
      <c r="BU9" s="29"/>
      <c r="BV9" s="29"/>
      <c r="BW9" s="29"/>
      <c r="BX9" s="29"/>
      <c r="BY9" s="29"/>
      <c r="BZ9" s="29"/>
      <c r="CA9" s="29"/>
      <c r="CB9" s="29"/>
      <c r="CC9" s="29"/>
      <c r="CD9" s="107"/>
      <c r="CE9" s="29"/>
      <c r="CF9" s="29"/>
      <c r="CG9" s="29"/>
      <c r="CH9" s="29"/>
      <c r="CI9" s="29"/>
      <c r="CJ9" s="29"/>
      <c r="CK9" s="29"/>
      <c r="CL9" s="29"/>
      <c r="CM9" s="29"/>
      <c r="CN9" s="29"/>
      <c r="CO9" s="29"/>
      <c r="CP9" s="29"/>
      <c r="CQ9" s="29"/>
      <c r="CR9" s="29"/>
      <c r="CS9" s="29"/>
      <c r="CT9" s="29"/>
      <c r="CU9" s="29"/>
      <c r="CV9" s="29"/>
      <c r="CW9" s="10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row>
    <row r="10" spans="1:131">
      <c r="A10" s="7" t="s">
        <v>472</v>
      </c>
      <c r="B10" s="7"/>
      <c r="C10" s="35">
        <v>1342.1286397245815</v>
      </c>
      <c r="D10" s="35">
        <v>724.58752370386082</v>
      </c>
      <c r="E10" s="35">
        <v>144.91750474077216</v>
      </c>
      <c r="F10" s="35">
        <v>869.50502844463301</v>
      </c>
      <c r="G10" s="35">
        <v>1147.7784165052444</v>
      </c>
      <c r="H10" s="35">
        <v>565.97114499468876</v>
      </c>
      <c r="I10" s="35">
        <v>5675.2116181188439</v>
      </c>
      <c r="J10" s="35">
        <v>21.715376734718298</v>
      </c>
      <c r="K10" s="35">
        <v>69.681389746023285</v>
      </c>
      <c r="L10" s="107">
        <v>0.61166466448144918</v>
      </c>
      <c r="M10" s="35">
        <v>10.494558533974342</v>
      </c>
      <c r="N10" s="35">
        <v>0.29447890126290738</v>
      </c>
      <c r="O10" s="35">
        <v>65.943780090889817</v>
      </c>
      <c r="P10" s="35">
        <v>58.538005129261556</v>
      </c>
      <c r="Q10" s="35">
        <v>71.720517282066112</v>
      </c>
      <c r="R10" s="35">
        <v>74.712158153038672</v>
      </c>
      <c r="S10" s="35">
        <v>86.110020791850786</v>
      </c>
      <c r="T10" s="35">
        <v>96.869401261164072</v>
      </c>
      <c r="U10" s="35">
        <v>81.413814132464239</v>
      </c>
      <c r="V10" s="35">
        <v>86.959332718700736</v>
      </c>
      <c r="W10" s="35">
        <v>77.467897130375164</v>
      </c>
      <c r="X10" s="35">
        <v>83.526381179724609</v>
      </c>
      <c r="Y10" s="35">
        <v>77.195888722411439</v>
      </c>
      <c r="Z10" s="35">
        <v>68.025338890451181</v>
      </c>
      <c r="AA10" s="35"/>
      <c r="AB10" s="35">
        <v>29.288526718230589</v>
      </c>
      <c r="AC10" s="35">
        <v>24.250866406773813</v>
      </c>
      <c r="AD10" s="35">
        <v>25.871804534774203</v>
      </c>
      <c r="AE10" s="35">
        <v>33.502870014147675</v>
      </c>
      <c r="AF10" s="35">
        <v>42.26966810644754</v>
      </c>
      <c r="AG10" s="35">
        <v>38.659645925541625</v>
      </c>
      <c r="AH10" s="35">
        <v>43.412732220357647</v>
      </c>
      <c r="AI10" s="35">
        <v>32.469753987115929</v>
      </c>
      <c r="AJ10" s="35">
        <v>40.930260815626625</v>
      </c>
      <c r="AK10" s="35">
        <v>33.408232230799726</v>
      </c>
      <c r="AL10" s="35">
        <v>40.465496373343314</v>
      </c>
      <c r="AM10" s="29">
        <v>29.116246909024039</v>
      </c>
      <c r="AN10" s="29"/>
      <c r="AO10" s="29"/>
      <c r="AP10" s="29"/>
      <c r="AQ10" s="29"/>
      <c r="AR10" s="29"/>
      <c r="AS10" s="107"/>
      <c r="AT10" s="29"/>
      <c r="AU10" s="29"/>
      <c r="AV10" s="29"/>
      <c r="AW10" s="29"/>
      <c r="AX10" s="29"/>
      <c r="AY10" s="29"/>
      <c r="AZ10" s="107"/>
      <c r="BA10" s="29"/>
      <c r="BB10" s="29"/>
      <c r="BC10" s="29"/>
      <c r="BD10" s="29"/>
      <c r="BE10" s="29"/>
      <c r="BF10" s="29"/>
      <c r="BG10" s="29"/>
      <c r="BH10" s="107"/>
      <c r="BI10" s="29"/>
      <c r="BJ10" s="29"/>
      <c r="BK10" s="29"/>
      <c r="BL10" s="29"/>
      <c r="BM10" s="29"/>
      <c r="BN10" s="29"/>
      <c r="BO10" s="29"/>
      <c r="BP10" s="29"/>
      <c r="BQ10" s="29"/>
      <c r="BR10" s="29"/>
      <c r="BS10" s="29"/>
      <c r="BT10" s="29"/>
      <c r="BU10" s="29"/>
      <c r="BV10" s="29"/>
      <c r="BW10" s="29"/>
      <c r="BX10" s="29"/>
      <c r="BY10" s="29"/>
      <c r="BZ10" s="29"/>
      <c r="CA10" s="29"/>
      <c r="CB10" s="29"/>
      <c r="CC10" s="29"/>
      <c r="CD10" s="107"/>
      <c r="CE10" s="29"/>
      <c r="CF10" s="29"/>
      <c r="CG10" s="29"/>
      <c r="CH10" s="29"/>
      <c r="CI10" s="29"/>
      <c r="CJ10" s="29"/>
      <c r="CK10" s="29"/>
      <c r="CL10" s="29"/>
      <c r="CM10" s="29"/>
      <c r="CN10" s="29"/>
      <c r="CO10" s="29"/>
      <c r="CP10" s="29"/>
      <c r="CQ10" s="29"/>
      <c r="CR10" s="29"/>
      <c r="CS10" s="29"/>
      <c r="CT10" s="29"/>
      <c r="CU10" s="29"/>
      <c r="CV10" s="29"/>
      <c r="CW10" s="10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row>
    <row r="11" spans="1:131">
      <c r="A11" s="7" t="s">
        <v>483</v>
      </c>
      <c r="B11" s="7"/>
      <c r="C11" s="35">
        <v>1009.2424439729974</v>
      </c>
      <c r="D11" s="35">
        <v>724.5875237038573</v>
      </c>
      <c r="E11" s="35">
        <v>144.91750474077148</v>
      </c>
      <c r="F11" s="35">
        <v>869.50502844462881</v>
      </c>
      <c r="G11" s="35">
        <v>1147.7784165052387</v>
      </c>
      <c r="H11" s="35">
        <v>691.67656401792806</v>
      </c>
      <c r="I11" s="35">
        <v>7547.1103050227439</v>
      </c>
      <c r="J11" s="35">
        <v>32.809552644871076</v>
      </c>
      <c r="K11" s="35">
        <v>71.047447426738415</v>
      </c>
      <c r="L11" s="107">
        <v>0.60262203407165316</v>
      </c>
      <c r="M11" s="35">
        <v>9.5879180496686303</v>
      </c>
      <c r="N11" s="35">
        <v>0.22459116393548048</v>
      </c>
      <c r="O11" s="35">
        <v>50.234325751920103</v>
      </c>
      <c r="P11" s="35">
        <v>44.409928196520703</v>
      </c>
      <c r="Q11" s="35">
        <v>54.141618061593178</v>
      </c>
      <c r="R11" s="35">
        <v>56.216388345206006</v>
      </c>
      <c r="S11" s="35">
        <v>64.338645698132723</v>
      </c>
      <c r="T11" s="35">
        <v>72.164140890073469</v>
      </c>
      <c r="U11" s="35">
        <v>60.608185692620822</v>
      </c>
      <c r="V11" s="35">
        <v>64.732616985313385</v>
      </c>
      <c r="W11" s="35">
        <v>57.791350895219111</v>
      </c>
      <c r="X11" s="35">
        <v>62.633926445036863</v>
      </c>
      <c r="Y11" s="35">
        <v>58.196381121010731</v>
      </c>
      <c r="Z11" s="35">
        <v>51.974809966459198</v>
      </c>
      <c r="AA11" s="35"/>
      <c r="AB11" s="35">
        <v>22.532768711463049</v>
      </c>
      <c r="AC11" s="35">
        <v>18.599157647370813</v>
      </c>
      <c r="AD11" s="35">
        <v>19.68136827353521</v>
      </c>
      <c r="AE11" s="35">
        <v>25.299916141454915</v>
      </c>
      <c r="AF11" s="35">
        <v>31.602315175484375</v>
      </c>
      <c r="AG11" s="35">
        <v>28.807546416261605</v>
      </c>
      <c r="AH11" s="35">
        <v>32.31888483724957</v>
      </c>
      <c r="AI11" s="35">
        <v>24.171553122207147</v>
      </c>
      <c r="AJ11" s="35">
        <v>30.540422906779348</v>
      </c>
      <c r="AK11" s="35">
        <v>25.106241076682473</v>
      </c>
      <c r="AL11" s="35">
        <v>30.602947645900013</v>
      </c>
      <c r="AM11" s="29">
        <v>22.537003969502422</v>
      </c>
      <c r="AN11" s="29"/>
      <c r="AO11" s="29"/>
      <c r="AP11" s="29"/>
      <c r="AQ11" s="29"/>
      <c r="AR11" s="29"/>
      <c r="AS11" s="107"/>
      <c r="AT11" s="29"/>
      <c r="AU11" s="29"/>
      <c r="AV11" s="29"/>
      <c r="AW11" s="29"/>
      <c r="AX11" s="29"/>
      <c r="AY11" s="29"/>
      <c r="AZ11" s="107"/>
      <c r="BA11" s="29"/>
      <c r="BB11" s="29"/>
      <c r="BC11" s="29"/>
      <c r="BD11" s="29"/>
      <c r="BE11" s="29"/>
      <c r="BF11" s="29"/>
      <c r="BG11" s="29"/>
      <c r="BH11" s="107"/>
      <c r="BI11" s="29"/>
      <c r="BJ11" s="29"/>
      <c r="BK11" s="29"/>
      <c r="BL11" s="29"/>
      <c r="BM11" s="29"/>
      <c r="BN11" s="29"/>
      <c r="BO11" s="29"/>
      <c r="BP11" s="29"/>
      <c r="BQ11" s="29"/>
      <c r="BR11" s="29"/>
      <c r="BS11" s="29"/>
      <c r="BT11" s="29"/>
      <c r="BU11" s="29"/>
      <c r="BV11" s="29"/>
      <c r="BW11" s="29"/>
      <c r="BX11" s="29"/>
      <c r="BY11" s="29"/>
      <c r="BZ11" s="29"/>
      <c r="CA11" s="29"/>
      <c r="CB11" s="29"/>
      <c r="CC11" s="29"/>
      <c r="CD11" s="107"/>
      <c r="CE11" s="29"/>
      <c r="CF11" s="29"/>
      <c r="CG11" s="29"/>
      <c r="CH11" s="29"/>
      <c r="CI11" s="29"/>
      <c r="CJ11" s="29"/>
      <c r="CK11" s="29"/>
      <c r="CL11" s="29"/>
      <c r="CM11" s="29"/>
      <c r="CN11" s="29"/>
      <c r="CO11" s="29"/>
      <c r="CP11" s="29"/>
      <c r="CQ11" s="29"/>
      <c r="CR11" s="29"/>
      <c r="CS11" s="29"/>
      <c r="CT11" s="29"/>
      <c r="CU11" s="29"/>
      <c r="CV11" s="29"/>
      <c r="CW11" s="10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7" t="s">
        <v>488</v>
      </c>
      <c r="B12" s="7"/>
      <c r="C12" s="35">
        <v>1038.3745091059893</v>
      </c>
      <c r="D12" s="35">
        <v>724.5875237038573</v>
      </c>
      <c r="E12" s="35">
        <v>144.91750474077148</v>
      </c>
      <c r="F12" s="35">
        <v>869.50502844462881</v>
      </c>
      <c r="G12" s="35">
        <v>1147.7784165052387</v>
      </c>
      <c r="H12" s="35">
        <v>542.47609236135418</v>
      </c>
      <c r="I12" s="35">
        <v>7335.3727218639542</v>
      </c>
      <c r="J12" s="35">
        <v>34.213434290675067</v>
      </c>
      <c r="K12" s="35">
        <v>80.520363180245837</v>
      </c>
      <c r="L12" s="107">
        <v>0.52591728988861597</v>
      </c>
      <c r="M12" s="35">
        <v>9.7996787871136508</v>
      </c>
      <c r="N12" s="35">
        <v>0.18208105295500426</v>
      </c>
      <c r="O12" s="35">
        <v>34.977131022224988</v>
      </c>
      <c r="P12" s="35">
        <v>33.806910881646338</v>
      </c>
      <c r="Q12" s="35">
        <v>50.722527507709643</v>
      </c>
      <c r="R12" s="35">
        <v>55.600339557692742</v>
      </c>
      <c r="S12" s="35">
        <v>79.98917006781069</v>
      </c>
      <c r="T12" s="35">
        <v>95.702179821828977</v>
      </c>
      <c r="U12" s="35">
        <v>81.237480026984386</v>
      </c>
      <c r="V12" s="35">
        <v>86.845812806063719</v>
      </c>
      <c r="W12" s="35">
        <v>74.607492615127285</v>
      </c>
      <c r="X12" s="35">
        <v>73.163604088122753</v>
      </c>
      <c r="Y12" s="35">
        <v>57.197757271584415</v>
      </c>
      <c r="Z12" s="35">
        <v>32.843318389286459</v>
      </c>
      <c r="AA12" s="35"/>
      <c r="AB12" s="35">
        <v>3.6706311802732134</v>
      </c>
      <c r="AC12" s="35">
        <v>4.8520653792978647</v>
      </c>
      <c r="AD12" s="35">
        <v>10.679555858915515</v>
      </c>
      <c r="AE12" s="35">
        <v>19.034865685269725</v>
      </c>
      <c r="AF12" s="35">
        <v>37.930272977697406</v>
      </c>
      <c r="AG12" s="35">
        <v>37.723659187225685</v>
      </c>
      <c r="AH12" s="35">
        <v>43.164513320441429</v>
      </c>
      <c r="AI12" s="35">
        <v>32.25155285826618</v>
      </c>
      <c r="AJ12" s="35">
        <v>38.650686950620631</v>
      </c>
      <c r="AK12" s="35">
        <v>26.748041987506941</v>
      </c>
      <c r="AL12" s="35">
        <v>25.130145209231806</v>
      </c>
      <c r="AM12" s="29">
        <v>1.844794455160186</v>
      </c>
      <c r="AN12" s="29"/>
      <c r="AO12" s="29"/>
      <c r="AP12" s="29"/>
      <c r="AQ12" s="29"/>
      <c r="AR12" s="29"/>
      <c r="AS12" s="107"/>
      <c r="AT12" s="29"/>
      <c r="AU12" s="29"/>
      <c r="AV12" s="29"/>
      <c r="AW12" s="29"/>
      <c r="AX12" s="29"/>
      <c r="AY12" s="29"/>
      <c r="AZ12" s="107"/>
      <c r="BA12" s="29"/>
      <c r="BB12" s="29"/>
      <c r="BC12" s="29"/>
      <c r="BD12" s="29"/>
      <c r="BE12" s="29"/>
      <c r="BF12" s="29"/>
      <c r="BG12" s="29"/>
      <c r="BH12" s="107"/>
      <c r="BI12" s="29"/>
      <c r="BJ12" s="29"/>
      <c r="BK12" s="29"/>
      <c r="BL12" s="29"/>
      <c r="BM12" s="29"/>
      <c r="BN12" s="29"/>
      <c r="BO12" s="29"/>
      <c r="BP12" s="29"/>
      <c r="BQ12" s="29"/>
      <c r="BR12" s="29"/>
      <c r="BS12" s="29"/>
      <c r="BT12" s="29"/>
      <c r="BU12" s="29"/>
      <c r="BV12" s="29"/>
      <c r="BW12" s="29"/>
      <c r="BX12" s="29"/>
      <c r="BY12" s="29"/>
      <c r="BZ12" s="29"/>
      <c r="CA12" s="29"/>
      <c r="CB12" s="29"/>
      <c r="CC12" s="29"/>
      <c r="CD12" s="107"/>
      <c r="CE12" s="29"/>
      <c r="CF12" s="29"/>
      <c r="CG12" s="29"/>
      <c r="CH12" s="29"/>
      <c r="CI12" s="29"/>
      <c r="CJ12" s="29"/>
      <c r="CK12" s="29"/>
      <c r="CL12" s="29"/>
      <c r="CM12" s="29"/>
      <c r="CN12" s="29"/>
      <c r="CO12" s="29"/>
      <c r="CP12" s="29"/>
      <c r="CQ12" s="29"/>
      <c r="CR12" s="29"/>
      <c r="CS12" s="29"/>
      <c r="CT12" s="29"/>
      <c r="CU12" s="29"/>
      <c r="CV12" s="29"/>
      <c r="CW12" s="10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row r="13" spans="1:131">
      <c r="A13" s="7" t="s">
        <v>476</v>
      </c>
      <c r="B13" s="7"/>
      <c r="C13" s="35">
        <v>1026.0267452906901</v>
      </c>
      <c r="D13" s="35">
        <v>724.58752370386082</v>
      </c>
      <c r="E13" s="35">
        <v>144.91750474077216</v>
      </c>
      <c r="F13" s="35">
        <v>869.50502844463301</v>
      </c>
      <c r="G13" s="35">
        <v>1147.7784165052444</v>
      </c>
      <c r="H13" s="35">
        <v>531.58334220922734</v>
      </c>
      <c r="I13" s="35">
        <v>7423.650586239839</v>
      </c>
      <c r="J13" s="35">
        <v>34.804671829654012</v>
      </c>
      <c r="K13" s="35">
        <v>81.814022161149751</v>
      </c>
      <c r="L13" s="107">
        <v>0.51814968465079869</v>
      </c>
      <c r="M13" s="35">
        <v>9.6748371976782881</v>
      </c>
      <c r="N13" s="35">
        <v>0.1788373356834887</v>
      </c>
      <c r="O13" s="35">
        <v>34.193416638527893</v>
      </c>
      <c r="P13" s="35">
        <v>33.143268270888505</v>
      </c>
      <c r="Q13" s="35">
        <v>50.009694204389355</v>
      </c>
      <c r="R13" s="35">
        <v>54.889888728679303</v>
      </c>
      <c r="S13" s="35">
        <v>79.341625708320322</v>
      </c>
      <c r="T13" s="35">
        <v>95.036445240967083</v>
      </c>
      <c r="U13" s="35">
        <v>80.687062580798468</v>
      </c>
      <c r="V13" s="35">
        <v>86.258749458346529</v>
      </c>
      <c r="W13" s="35">
        <v>74.053763908369731</v>
      </c>
      <c r="X13" s="35">
        <v>72.485580477409869</v>
      </c>
      <c r="Y13" s="35">
        <v>56.458630855903763</v>
      </c>
      <c r="Z13" s="35">
        <v>31.998584937939611</v>
      </c>
      <c r="AA13" s="35"/>
      <c r="AB13" s="35">
        <v>3.1974406313049721</v>
      </c>
      <c r="AC13" s="35">
        <v>4.4799259586474962</v>
      </c>
      <c r="AD13" s="35">
        <v>10.341892222121775</v>
      </c>
      <c r="AE13" s="35">
        <v>18.654521206408294</v>
      </c>
      <c r="AF13" s="35">
        <v>37.59844766787343</v>
      </c>
      <c r="AG13" s="35">
        <v>37.453041289868231</v>
      </c>
      <c r="AH13" s="35">
        <v>42.869440242724785</v>
      </c>
      <c r="AI13" s="35">
        <v>32.030546156708972</v>
      </c>
      <c r="AJ13" s="35">
        <v>38.350204617460349</v>
      </c>
      <c r="AK13" s="35">
        <v>26.450158080817683</v>
      </c>
      <c r="AL13" s="35">
        <v>24.691389637115709</v>
      </c>
      <c r="AM13" s="29">
        <v>1.3530265690975645</v>
      </c>
      <c r="AN13" s="29"/>
      <c r="AO13" s="29"/>
      <c r="AP13" s="29"/>
      <c r="AQ13" s="29"/>
      <c r="AR13" s="29"/>
      <c r="AS13" s="107"/>
      <c r="AT13" s="29"/>
      <c r="AU13" s="29"/>
      <c r="AV13" s="29"/>
      <c r="AW13" s="29"/>
      <c r="AX13" s="29"/>
      <c r="AY13" s="29"/>
      <c r="AZ13" s="107"/>
      <c r="BA13" s="29"/>
      <c r="BB13" s="29"/>
      <c r="BC13" s="29"/>
      <c r="BD13" s="29"/>
      <c r="BE13" s="29"/>
      <c r="BF13" s="29"/>
      <c r="BG13" s="29"/>
      <c r="BH13" s="107"/>
      <c r="BI13" s="29"/>
      <c r="BJ13" s="29"/>
      <c r="BK13" s="29"/>
      <c r="BL13" s="29"/>
      <c r="BM13" s="29"/>
      <c r="BN13" s="29"/>
      <c r="BO13" s="29"/>
      <c r="BP13" s="29"/>
      <c r="BQ13" s="29"/>
      <c r="BR13" s="29"/>
      <c r="BS13" s="29"/>
      <c r="BT13" s="29"/>
      <c r="BU13" s="29"/>
      <c r="BV13" s="29"/>
      <c r="BW13" s="29"/>
      <c r="BX13" s="29"/>
      <c r="BY13" s="29"/>
      <c r="BZ13" s="29"/>
      <c r="CA13" s="29"/>
      <c r="CB13" s="29"/>
      <c r="CC13" s="29"/>
      <c r="CD13" s="107"/>
      <c r="CE13" s="29"/>
      <c r="CF13" s="29"/>
      <c r="CG13" s="29"/>
      <c r="CH13" s="29"/>
      <c r="CI13" s="29"/>
      <c r="CJ13" s="29"/>
      <c r="CK13" s="29"/>
      <c r="CL13" s="29"/>
      <c r="CM13" s="29"/>
      <c r="CN13" s="29"/>
      <c r="CO13" s="29"/>
      <c r="CP13" s="29"/>
      <c r="CQ13" s="29"/>
      <c r="CR13" s="29"/>
      <c r="CS13" s="29"/>
      <c r="CT13" s="29"/>
      <c r="CU13" s="29"/>
      <c r="CV13" s="29"/>
      <c r="CW13" s="10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row>
    <row r="14" spans="1:131">
      <c r="A14" s="7" t="s">
        <v>486</v>
      </c>
      <c r="B14" s="7"/>
      <c r="C14" s="35">
        <v>998.36291367990407</v>
      </c>
      <c r="D14" s="35">
        <v>724.5875237038573</v>
      </c>
      <c r="E14" s="35">
        <v>144.91750474077148</v>
      </c>
      <c r="F14" s="35">
        <v>869.50502844462881</v>
      </c>
      <c r="G14" s="35">
        <v>1147.7784165052387</v>
      </c>
      <c r="H14" s="35">
        <v>449.63712360810155</v>
      </c>
      <c r="I14" s="35">
        <v>7629.3539601743196</v>
      </c>
      <c r="J14" s="35">
        <v>39.570649460063585</v>
      </c>
      <c r="K14" s="35">
        <v>88.894732127246641</v>
      </c>
      <c r="L14" s="107">
        <v>0.45986995060012836</v>
      </c>
      <c r="M14" s="35">
        <v>9.4116997969635321</v>
      </c>
      <c r="N14" s="35">
        <v>0.11198994195198492</v>
      </c>
      <c r="O14" s="35">
        <v>27.090454483102757</v>
      </c>
      <c r="P14" s="35">
        <v>30.260429682034751</v>
      </c>
      <c r="Q14" s="35">
        <v>46.221723760706858</v>
      </c>
      <c r="R14" s="35">
        <v>54.387511169452907</v>
      </c>
      <c r="S14" s="35">
        <v>78.106487441246813</v>
      </c>
      <c r="T14" s="35">
        <v>95.121342460702607</v>
      </c>
      <c r="U14" s="35">
        <v>81.375316149205062</v>
      </c>
      <c r="V14" s="35">
        <v>87.050964563289284</v>
      </c>
      <c r="W14" s="35">
        <v>73.331180053190351</v>
      </c>
      <c r="X14" s="35">
        <v>68.095568883146186</v>
      </c>
      <c r="Y14" s="35">
        <v>52.419995974689186</v>
      </c>
      <c r="Z14" s="35">
        <v>22.686449061177232</v>
      </c>
      <c r="AA14" s="35"/>
      <c r="AB14" s="35">
        <v>4.5071029228739778</v>
      </c>
      <c r="AC14" s="35">
        <v>5.7005570953532034</v>
      </c>
      <c r="AD14" s="35">
        <v>11.549997896392105</v>
      </c>
      <c r="AE14" s="35">
        <v>21.29626434737694</v>
      </c>
      <c r="AF14" s="35">
        <v>37.669088075965071</v>
      </c>
      <c r="AG14" s="35">
        <v>37.706123272775855</v>
      </c>
      <c r="AH14" s="35">
        <v>43.37686410932703</v>
      </c>
      <c r="AI14" s="35">
        <v>32.468810817881561</v>
      </c>
      <c r="AJ14" s="35">
        <v>38.530930319561165</v>
      </c>
      <c r="AK14" s="35">
        <v>25.387868137651569</v>
      </c>
      <c r="AL14" s="35">
        <v>24.187963074863529</v>
      </c>
      <c r="AM14" s="29">
        <v>-0.16608007206226946</v>
      </c>
      <c r="AN14" s="29"/>
      <c r="AO14" s="29"/>
      <c r="AP14" s="29"/>
      <c r="AQ14" s="29"/>
      <c r="AR14" s="29"/>
      <c r="AS14" s="107"/>
      <c r="AT14" s="29"/>
      <c r="AU14" s="29"/>
      <c r="AV14" s="29"/>
      <c r="AW14" s="29"/>
      <c r="AX14" s="29"/>
      <c r="AY14" s="29"/>
      <c r="AZ14" s="107"/>
      <c r="BA14" s="29"/>
      <c r="BB14" s="29"/>
      <c r="BC14" s="29"/>
      <c r="BD14" s="29"/>
      <c r="BE14" s="29"/>
      <c r="BF14" s="29"/>
      <c r="BG14" s="29"/>
      <c r="BH14" s="107"/>
      <c r="BI14" s="29"/>
      <c r="BJ14" s="29"/>
      <c r="BK14" s="29"/>
      <c r="BL14" s="29"/>
      <c r="BM14" s="29"/>
      <c r="BN14" s="29"/>
      <c r="BO14" s="29"/>
      <c r="BP14" s="29"/>
      <c r="BQ14" s="29"/>
      <c r="BR14" s="29"/>
      <c r="BS14" s="29"/>
      <c r="BT14" s="29"/>
      <c r="BU14" s="29"/>
      <c r="BV14" s="29"/>
      <c r="BW14" s="29"/>
      <c r="BX14" s="29"/>
      <c r="BY14" s="29"/>
      <c r="BZ14" s="29"/>
      <c r="CA14" s="29"/>
      <c r="CB14" s="29"/>
      <c r="CC14" s="29"/>
      <c r="CD14" s="107"/>
      <c r="CE14" s="29"/>
      <c r="CF14" s="29"/>
      <c r="CG14" s="29"/>
      <c r="CH14" s="29"/>
      <c r="CI14" s="29"/>
      <c r="CJ14" s="29"/>
      <c r="CK14" s="29"/>
      <c r="CL14" s="29"/>
      <c r="CM14" s="29"/>
      <c r="CN14" s="29"/>
      <c r="CO14" s="29"/>
      <c r="CP14" s="29"/>
      <c r="CQ14" s="29"/>
      <c r="CR14" s="29"/>
      <c r="CS14" s="29"/>
      <c r="CT14" s="29"/>
      <c r="CU14" s="29"/>
      <c r="CV14" s="29"/>
      <c r="CW14" s="10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row>
    <row r="15" spans="1:131">
      <c r="A15" s="7" t="s">
        <v>474</v>
      </c>
      <c r="B15" s="7"/>
      <c r="C15" s="35">
        <v>985.78061802533921</v>
      </c>
      <c r="D15" s="35">
        <v>724.58752370386082</v>
      </c>
      <c r="E15" s="35">
        <v>144.91750474077216</v>
      </c>
      <c r="F15" s="35">
        <v>869.50502844463301</v>
      </c>
      <c r="G15" s="35">
        <v>1147.7784165052444</v>
      </c>
      <c r="H15" s="35">
        <v>437.9668020622575</v>
      </c>
      <c r="I15" s="35">
        <v>7726.7334231349187</v>
      </c>
      <c r="J15" s="35">
        <v>40.297585912115409</v>
      </c>
      <c r="K15" s="35">
        <v>90.414656755049762</v>
      </c>
      <c r="L15" s="107">
        <v>0.45176963271878157</v>
      </c>
      <c r="M15" s="35">
        <v>9.2837411998290538</v>
      </c>
      <c r="N15" s="35">
        <v>0.10813779899635631</v>
      </c>
      <c r="O15" s="35">
        <v>26.248341801449509</v>
      </c>
      <c r="P15" s="35">
        <v>29.576221050421928</v>
      </c>
      <c r="Q15" s="35">
        <v>45.476679961062153</v>
      </c>
      <c r="R15" s="35">
        <v>53.674979923464861</v>
      </c>
      <c r="S15" s="35">
        <v>77.442470156381376</v>
      </c>
      <c r="T15" s="35">
        <v>94.448322198690832</v>
      </c>
      <c r="U15" s="35">
        <v>80.824261469779458</v>
      </c>
      <c r="V15" s="35">
        <v>86.463728006887962</v>
      </c>
      <c r="W15" s="35">
        <v>72.765035708257329</v>
      </c>
      <c r="X15" s="35">
        <v>67.373310126020826</v>
      </c>
      <c r="Y15" s="35">
        <v>51.64528769125814</v>
      </c>
      <c r="Z15" s="35">
        <v>21.764140901892993</v>
      </c>
      <c r="AA15" s="35"/>
      <c r="AB15" s="35">
        <v>4.0563714093979382</v>
      </c>
      <c r="AC15" s="35">
        <v>5.3474214159402713</v>
      </c>
      <c r="AD15" s="35">
        <v>11.229005594546122</v>
      </c>
      <c r="AE15" s="35">
        <v>20.945220644013961</v>
      </c>
      <c r="AF15" s="35">
        <v>37.336286753053059</v>
      </c>
      <c r="AG15" s="35">
        <v>37.43491872840292</v>
      </c>
      <c r="AH15" s="35">
        <v>43.082865834269555</v>
      </c>
      <c r="AI15" s="35">
        <v>32.249184087788024</v>
      </c>
      <c r="AJ15" s="35">
        <v>38.229628795235804</v>
      </c>
      <c r="AK15" s="35">
        <v>25.080140703318449</v>
      </c>
      <c r="AL15" s="35">
        <v>23.748325337627794</v>
      </c>
      <c r="AM15" s="29">
        <v>-0.6615302738223553</v>
      </c>
      <c r="AN15" s="29"/>
      <c r="AO15" s="29"/>
      <c r="AP15" s="29"/>
      <c r="AQ15" s="29"/>
      <c r="AR15" s="29"/>
      <c r="AS15" s="107"/>
      <c r="AT15" s="29"/>
      <c r="AU15" s="29"/>
      <c r="AV15" s="29"/>
      <c r="AW15" s="29"/>
      <c r="AX15" s="29"/>
      <c r="AY15" s="29"/>
      <c r="AZ15" s="107"/>
      <c r="BA15" s="29"/>
      <c r="BB15" s="29"/>
      <c r="BC15" s="29"/>
      <c r="BD15" s="29"/>
      <c r="BE15" s="29"/>
      <c r="BF15" s="29"/>
      <c r="BG15" s="29"/>
      <c r="BH15" s="107"/>
      <c r="BI15" s="29"/>
      <c r="BJ15" s="29"/>
      <c r="BK15" s="29"/>
      <c r="BL15" s="29"/>
      <c r="BM15" s="29"/>
      <c r="BN15" s="29"/>
      <c r="BO15" s="29"/>
      <c r="BP15" s="29"/>
      <c r="BQ15" s="29"/>
      <c r="BR15" s="29"/>
      <c r="BS15" s="29"/>
      <c r="BT15" s="29"/>
      <c r="BU15" s="29"/>
      <c r="BV15" s="29"/>
      <c r="BW15" s="29"/>
      <c r="BX15" s="29"/>
      <c r="BY15" s="29"/>
      <c r="BZ15" s="29"/>
      <c r="CA15" s="29"/>
      <c r="CB15" s="29"/>
      <c r="CC15" s="29"/>
      <c r="CD15" s="107"/>
      <c r="CE15" s="29"/>
      <c r="CF15" s="29"/>
      <c r="CG15" s="29"/>
      <c r="CH15" s="29"/>
      <c r="CI15" s="29"/>
      <c r="CJ15" s="29"/>
      <c r="CK15" s="29"/>
      <c r="CL15" s="29"/>
      <c r="CM15" s="29"/>
      <c r="CN15" s="29"/>
      <c r="CO15" s="29"/>
      <c r="CP15" s="29"/>
      <c r="CQ15" s="29"/>
      <c r="CR15" s="29"/>
      <c r="CS15" s="29"/>
      <c r="CT15" s="29"/>
      <c r="CU15" s="29"/>
      <c r="CV15" s="29"/>
      <c r="CW15" s="10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row>
    <row r="16" spans="1:131">
      <c r="A16" s="7" t="s">
        <v>496</v>
      </c>
      <c r="B16" s="7"/>
      <c r="C16" s="35">
        <v>317.07386640893014</v>
      </c>
      <c r="D16" s="35">
        <v>1183.5005381933265</v>
      </c>
      <c r="E16" s="35">
        <v>236.70010763866532</v>
      </c>
      <c r="F16" s="35">
        <v>1420.2006458319918</v>
      </c>
      <c r="G16" s="35">
        <v>1874.7167584627332</v>
      </c>
      <c r="H16" s="35">
        <v>217.30414170881008</v>
      </c>
      <c r="I16" s="35">
        <v>39236.780370423672</v>
      </c>
      <c r="J16" s="35">
        <v>223.62595365823842</v>
      </c>
      <c r="K16" s="35">
        <v>422.42149509679393</v>
      </c>
      <c r="L16" s="107">
        <v>0.11591305231996718</v>
      </c>
      <c r="M16" s="35">
        <v>3.0122378076530074</v>
      </c>
      <c r="N16" s="35">
        <v>7.0559843897636976E-2</v>
      </c>
      <c r="O16" s="35">
        <v>15.782126562784688</v>
      </c>
      <c r="P16" s="35">
        <v>13.952274476831256</v>
      </c>
      <c r="Q16" s="35">
        <v>17.009680901026879</v>
      </c>
      <c r="R16" s="35">
        <v>17.66151174182901</v>
      </c>
      <c r="S16" s="35">
        <v>20.213282520921691</v>
      </c>
      <c r="T16" s="35">
        <v>22.671819437326988</v>
      </c>
      <c r="U16" s="35">
        <v>19.041284959685882</v>
      </c>
      <c r="V16" s="35">
        <v>20.337058169953124</v>
      </c>
      <c r="W16" s="35">
        <v>18.156318403870539</v>
      </c>
      <c r="X16" s="35">
        <v>19.677710652405072</v>
      </c>
      <c r="Y16" s="35">
        <v>18.283566411873121</v>
      </c>
      <c r="Z16" s="35">
        <v>16.328934888659941</v>
      </c>
      <c r="AA16" s="35"/>
      <c r="AB16" s="35">
        <v>7.0791238865912787</v>
      </c>
      <c r="AC16" s="35">
        <v>5.8433005707500358</v>
      </c>
      <c r="AD16" s="35">
        <v>6.1832987588485828</v>
      </c>
      <c r="AE16" s="35">
        <v>7.9484787662120802</v>
      </c>
      <c r="AF16" s="35">
        <v>9.9285043341848311</v>
      </c>
      <c r="AG16" s="35">
        <v>9.0504713187302794</v>
      </c>
      <c r="AH16" s="35">
        <v>10.153629614895326</v>
      </c>
      <c r="AI16" s="35">
        <v>7.5939809631929096</v>
      </c>
      <c r="AJ16" s="35">
        <v>9.5948896602107876</v>
      </c>
      <c r="AK16" s="35">
        <v>7.8876317861059704</v>
      </c>
      <c r="AL16" s="35">
        <v>9.6145330494455212</v>
      </c>
      <c r="AM16" s="29">
        <v>7.080454572594256</v>
      </c>
      <c r="AN16" s="29"/>
      <c r="AO16" s="29"/>
      <c r="AP16" s="29"/>
      <c r="AQ16" s="29"/>
      <c r="AR16" s="29"/>
      <c r="AS16" s="107"/>
      <c r="AT16" s="29"/>
      <c r="AU16" s="29"/>
      <c r="AV16" s="29"/>
      <c r="AW16" s="29"/>
      <c r="AX16" s="29"/>
      <c r="AY16" s="29"/>
      <c r="AZ16" s="107"/>
      <c r="BA16" s="29"/>
      <c r="BB16" s="29"/>
      <c r="BC16" s="29"/>
      <c r="BD16" s="29"/>
      <c r="BE16" s="29"/>
      <c r="BF16" s="29"/>
      <c r="BG16" s="29"/>
      <c r="BH16" s="107"/>
      <c r="BI16" s="29"/>
      <c r="BJ16" s="29"/>
      <c r="BK16" s="29"/>
      <c r="BL16" s="29"/>
      <c r="BM16" s="29"/>
      <c r="BN16" s="29"/>
      <c r="BO16" s="29"/>
      <c r="BP16" s="29"/>
      <c r="BQ16" s="29"/>
      <c r="BR16" s="29"/>
      <c r="BS16" s="29"/>
      <c r="BT16" s="29"/>
      <c r="BU16" s="29"/>
      <c r="BV16" s="29"/>
      <c r="BW16" s="29"/>
      <c r="BX16" s="29"/>
      <c r="BY16" s="29"/>
      <c r="BZ16" s="29"/>
      <c r="CA16" s="29"/>
      <c r="CB16" s="29"/>
      <c r="CC16" s="29"/>
      <c r="CD16" s="107"/>
      <c r="CE16" s="29"/>
      <c r="CF16" s="29"/>
      <c r="CG16" s="29"/>
      <c r="CH16" s="29"/>
      <c r="CI16" s="29"/>
      <c r="CJ16" s="29"/>
      <c r="CK16" s="29"/>
      <c r="CL16" s="29"/>
      <c r="CM16" s="29"/>
      <c r="CN16" s="29"/>
      <c r="CO16" s="29"/>
      <c r="CP16" s="29"/>
      <c r="CQ16" s="29"/>
      <c r="CR16" s="29"/>
      <c r="CS16" s="29"/>
      <c r="CT16" s="29"/>
      <c r="CU16" s="29"/>
      <c r="CV16" s="29"/>
      <c r="CW16" s="10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row>
    <row r="17" spans="1:131">
      <c r="A17" s="7" t="s">
        <v>477</v>
      </c>
      <c r="B17" s="7"/>
      <c r="C17" s="35">
        <v>203.91805256806657</v>
      </c>
      <c r="D17" s="35">
        <v>1183.5005381933324</v>
      </c>
      <c r="E17" s="35">
        <v>236.70010763866651</v>
      </c>
      <c r="F17" s="35">
        <v>1420.2006458319988</v>
      </c>
      <c r="G17" s="35">
        <v>1874.7167584627423</v>
      </c>
      <c r="H17" s="35">
        <v>139.75367183673154</v>
      </c>
      <c r="I17" s="35">
        <v>61009.594299335498</v>
      </c>
      <c r="J17" s="35">
        <v>354.72892819814319</v>
      </c>
      <c r="K17" s="35">
        <v>663.83775968690907</v>
      </c>
      <c r="L17" s="107">
        <v>7.4546552809038102E-2</v>
      </c>
      <c r="M17" s="35">
        <v>1.937244701260965</v>
      </c>
      <c r="N17" s="35">
        <v>4.5378780982980753E-2</v>
      </c>
      <c r="O17" s="35">
        <v>10.149876208402597</v>
      </c>
      <c r="P17" s="35">
        <v>8.9730530662691841</v>
      </c>
      <c r="Q17" s="35">
        <v>10.939346678109818</v>
      </c>
      <c r="R17" s="35">
        <v>11.358555273184523</v>
      </c>
      <c r="S17" s="35">
        <v>12.999662076586489</v>
      </c>
      <c r="T17" s="35">
        <v>14.580807939067002</v>
      </c>
      <c r="U17" s="35">
        <v>12.245922342862244</v>
      </c>
      <c r="V17" s="35">
        <v>13.079266144361652</v>
      </c>
      <c r="W17" s="35">
        <v>11.676777840264311</v>
      </c>
      <c r="X17" s="35">
        <v>12.655222505177912</v>
      </c>
      <c r="Y17" s="35">
        <v>11.758613934831045</v>
      </c>
      <c r="Z17" s="35">
        <v>10.501542185928354</v>
      </c>
      <c r="AA17" s="35"/>
      <c r="AB17" s="35">
        <v>4.5527600354564619</v>
      </c>
      <c r="AC17" s="35">
        <v>3.757971407101738</v>
      </c>
      <c r="AD17" s="35">
        <v>3.9766325891649101</v>
      </c>
      <c r="AE17" s="35">
        <v>5.1118635292260377</v>
      </c>
      <c r="AF17" s="35">
        <v>6.3852667796915084</v>
      </c>
      <c r="AG17" s="35">
        <v>5.8205819804113093</v>
      </c>
      <c r="AH17" s="35">
        <v>6.530050664295322</v>
      </c>
      <c r="AI17" s="35">
        <v>4.8838772046635963</v>
      </c>
      <c r="AJ17" s="35">
        <v>6.1707110230370699</v>
      </c>
      <c r="AK17" s="35">
        <v>5.072731167466987</v>
      </c>
      <c r="AL17" s="35">
        <v>6.1833441880137014</v>
      </c>
      <c r="AM17" s="29">
        <v>4.5536158044927753</v>
      </c>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row>
    <row r="18" spans="1:131">
      <c r="A18" s="7" t="s">
        <v>490</v>
      </c>
      <c r="B18" s="7"/>
      <c r="C18" s="35">
        <v>87.931784673528639</v>
      </c>
      <c r="D18" s="35">
        <v>1183.5005381933265</v>
      </c>
      <c r="E18" s="35">
        <v>236.70010763866532</v>
      </c>
      <c r="F18" s="35">
        <v>1420.2006458319918</v>
      </c>
      <c r="G18" s="35">
        <v>1874.7167584627332</v>
      </c>
      <c r="H18" s="35">
        <v>-0.99215740914193518</v>
      </c>
      <c r="I18" s="35">
        <v>141484.19372674837</v>
      </c>
      <c r="J18" s="35">
        <v>839.09571307112856</v>
      </c>
      <c r="K18" s="35">
        <v>1607.3377066669348</v>
      </c>
      <c r="L18" s="107">
        <v>3.1214791058766782E-2</v>
      </c>
      <c r="M18" s="35">
        <v>0.44102085212427383</v>
      </c>
      <c r="N18" s="35">
        <v>1.988306430462353E-2</v>
      </c>
      <c r="O18" s="35">
        <v>4.4621170025817971</v>
      </c>
      <c r="P18" s="35">
        <v>3.9907241749174851</v>
      </c>
      <c r="Q18" s="35">
        <v>4.9331803476805884</v>
      </c>
      <c r="R18" s="35">
        <v>5.1317317668862552</v>
      </c>
      <c r="S18" s="35">
        <v>5.8494593362591569</v>
      </c>
      <c r="T18" s="35">
        <v>6.6138730218939665</v>
      </c>
      <c r="U18" s="35">
        <v>4.3320399221810888</v>
      </c>
      <c r="V18" s="35">
        <v>4.7183618942942491</v>
      </c>
      <c r="W18" s="35">
        <v>4.8718747688198523</v>
      </c>
      <c r="X18" s="35">
        <v>5.71219594383036</v>
      </c>
      <c r="Y18" s="35">
        <v>5.3225672232719363</v>
      </c>
      <c r="Z18" s="35">
        <v>4.5778048168534164</v>
      </c>
      <c r="AA18" s="35"/>
      <c r="AB18" s="35">
        <v>1.9458195138550061</v>
      </c>
      <c r="AC18" s="35">
        <v>1.6205552925196796</v>
      </c>
      <c r="AD18" s="35">
        <v>1.7550370151070496</v>
      </c>
      <c r="AE18" s="35">
        <v>2.2927856557601851</v>
      </c>
      <c r="AF18" s="35">
        <v>2.901995672882161</v>
      </c>
      <c r="AG18" s="35">
        <v>2.6742904686821758</v>
      </c>
      <c r="AH18" s="35">
        <v>2.6101601721770824</v>
      </c>
      <c r="AI18" s="35">
        <v>1.9818801233807122</v>
      </c>
      <c r="AJ18" s="35">
        <v>2.6627017597330278</v>
      </c>
      <c r="AK18" s="35">
        <v>2.2841789599926092</v>
      </c>
      <c r="AL18" s="35">
        <v>2.7743075044011234</v>
      </c>
      <c r="AM18" s="29">
        <v>1.91214231556765</v>
      </c>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row>
    <row r="19" spans="1:131">
      <c r="A19" s="7" t="s">
        <v>479</v>
      </c>
      <c r="B19" s="7"/>
      <c r="C19" s="35">
        <v>86.718840456148499</v>
      </c>
      <c r="D19" s="35">
        <v>1183.5005381933324</v>
      </c>
      <c r="E19" s="35">
        <v>236.70010763866651</v>
      </c>
      <c r="F19" s="35">
        <v>1420.2006458319988</v>
      </c>
      <c r="G19" s="35">
        <v>1874.7167584627423</v>
      </c>
      <c r="H19" s="35">
        <v>-2.4198145071653059</v>
      </c>
      <c r="I19" s="35">
        <v>143463.14586366483</v>
      </c>
      <c r="J19" s="35">
        <v>850.99522739203019</v>
      </c>
      <c r="K19" s="35">
        <v>1630.5015291600657</v>
      </c>
      <c r="L19" s="107">
        <v>3.0783516634616242E-2</v>
      </c>
      <c r="M19" s="35">
        <v>0.42501121997490154</v>
      </c>
      <c r="N19" s="35">
        <v>1.9634090668074949E-2</v>
      </c>
      <c r="O19" s="35">
        <v>4.40652966169728</v>
      </c>
      <c r="P19" s="35">
        <v>3.9418928952139884</v>
      </c>
      <c r="Q19" s="35">
        <v>4.8741083159519221</v>
      </c>
      <c r="R19" s="35">
        <v>5.0698363499172565</v>
      </c>
      <c r="S19" s="35">
        <v>5.7761167701386666</v>
      </c>
      <c r="T19" s="35">
        <v>6.5319379527542214</v>
      </c>
      <c r="U19" s="35">
        <v>4.2341868208024973</v>
      </c>
      <c r="V19" s="35">
        <v>4.6159928614939272</v>
      </c>
      <c r="W19" s="35">
        <v>4.7965837919560901</v>
      </c>
      <c r="X19" s="35">
        <v>5.6421886398170855</v>
      </c>
      <c r="Y19" s="35">
        <v>5.2592060454350387</v>
      </c>
      <c r="Z19" s="35">
        <v>4.5200282348361904</v>
      </c>
      <c r="AA19" s="35"/>
      <c r="AB19" s="35">
        <v>1.920508909109689</v>
      </c>
      <c r="AC19" s="35">
        <v>1.5997608235075464</v>
      </c>
      <c r="AD19" s="35">
        <v>1.7333045190706449</v>
      </c>
      <c r="AE19" s="35">
        <v>2.264925158948274</v>
      </c>
      <c r="AF19" s="35">
        <v>2.8667361324749812</v>
      </c>
      <c r="AG19" s="35">
        <v>2.6424189964194382</v>
      </c>
      <c r="AH19" s="35">
        <v>2.5650657678398647</v>
      </c>
      <c r="AI19" s="35">
        <v>1.948851762212976</v>
      </c>
      <c r="AJ19" s="35">
        <v>2.625020074505314</v>
      </c>
      <c r="AK19" s="35">
        <v>2.2562211879938032</v>
      </c>
      <c r="AL19" s="35">
        <v>2.7408221713586327</v>
      </c>
      <c r="AM19" s="29">
        <v>1.8865966126931486</v>
      </c>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7" t="s">
        <v>489</v>
      </c>
      <c r="B20" s="7"/>
      <c r="C20" s="35">
        <v>87.018336528396802</v>
      </c>
      <c r="D20" s="35">
        <v>1183.5005381933265</v>
      </c>
      <c r="E20" s="35">
        <v>236.70010763866532</v>
      </c>
      <c r="F20" s="35">
        <v>1420.2006458319918</v>
      </c>
      <c r="G20" s="35">
        <v>1874.7167584627332</v>
      </c>
      <c r="H20" s="35">
        <v>-1.2782153644838239</v>
      </c>
      <c r="I20" s="35">
        <v>142969.38040671893</v>
      </c>
      <c r="J20" s="35">
        <v>848.72060675318471</v>
      </c>
      <c r="K20" s="35">
        <v>1624.0877492683064</v>
      </c>
      <c r="L20" s="107">
        <v>3.0510859425974035E-2</v>
      </c>
      <c r="M20" s="35">
        <v>0.43902425896876007</v>
      </c>
      <c r="N20" s="35">
        <v>1.8631276675208853E-2</v>
      </c>
      <c r="O20" s="35">
        <v>4.1808473782624676</v>
      </c>
      <c r="P20" s="35">
        <v>3.7381029064364859</v>
      </c>
      <c r="Q20" s="35">
        <v>4.6193419217376945</v>
      </c>
      <c r="R20" s="35">
        <v>4.8389187556601723</v>
      </c>
      <c r="S20" s="35">
        <v>5.6436170482481698</v>
      </c>
      <c r="T20" s="35">
        <v>6.380062922280918</v>
      </c>
      <c r="U20" s="35">
        <v>5.3682893702953978</v>
      </c>
      <c r="V20" s="35">
        <v>5.7345236442262362</v>
      </c>
      <c r="W20" s="35">
        <v>5.0904242602258645</v>
      </c>
      <c r="X20" s="35">
        <v>5.4412300512594483</v>
      </c>
      <c r="Y20" s="35">
        <v>4.9835062418766762</v>
      </c>
      <c r="Z20" s="35">
        <v>4.2901451577621321</v>
      </c>
      <c r="AA20" s="35"/>
      <c r="AB20" s="35">
        <v>1.8244558591426354</v>
      </c>
      <c r="AC20" s="35">
        <v>1.5191348196145082</v>
      </c>
      <c r="AD20" s="35">
        <v>1.6442501057438708</v>
      </c>
      <c r="AE20" s="35">
        <v>2.1565641388321395</v>
      </c>
      <c r="AF20" s="35">
        <v>2.7674411037942686</v>
      </c>
      <c r="AG20" s="35">
        <v>2.5451184476054163</v>
      </c>
      <c r="AH20" s="35">
        <v>2.8624954935223559</v>
      </c>
      <c r="AI20" s="35">
        <v>2.1410623480508408</v>
      </c>
      <c r="AJ20" s="35">
        <v>2.6886106034157007</v>
      </c>
      <c r="AK20" s="35">
        <v>2.1683716548970273</v>
      </c>
      <c r="AL20" s="35">
        <v>2.5981311223950496</v>
      </c>
      <c r="AM20" s="29">
        <v>1.7936911731113003</v>
      </c>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row r="21" spans="1:131">
      <c r="A21" s="7" t="s">
        <v>478</v>
      </c>
      <c r="B21" s="7"/>
      <c r="C21" s="35">
        <v>86.442796713311679</v>
      </c>
      <c r="D21" s="35">
        <v>1183.5005381933324</v>
      </c>
      <c r="E21" s="35">
        <v>236.70010763866651</v>
      </c>
      <c r="F21" s="35">
        <v>1420.2006458319988</v>
      </c>
      <c r="G21" s="35">
        <v>1874.7167584627423</v>
      </c>
      <c r="H21" s="35">
        <v>-2.4183659486171258</v>
      </c>
      <c r="I21" s="35">
        <v>143921.2766189051</v>
      </c>
      <c r="J21" s="35">
        <v>854.45734350970963</v>
      </c>
      <c r="K21" s="35">
        <v>1635.6197766937105</v>
      </c>
      <c r="L21" s="107">
        <v>3.0294225102153013E-2</v>
      </c>
      <c r="M21" s="35">
        <v>0.42820122422732154</v>
      </c>
      <c r="N21" s="35">
        <v>1.8500463749028924E-2</v>
      </c>
      <c r="O21" s="35">
        <v>4.1516391288572629</v>
      </c>
      <c r="P21" s="35">
        <v>3.7124378816716614</v>
      </c>
      <c r="Q21" s="35">
        <v>4.5882844856826575</v>
      </c>
      <c r="R21" s="35">
        <v>4.8068299232196363</v>
      </c>
      <c r="S21" s="35">
        <v>5.6072857472458155</v>
      </c>
      <c r="T21" s="35">
        <v>6.3394992276689912</v>
      </c>
      <c r="U21" s="35">
        <v>5.3342582145942945</v>
      </c>
      <c r="V21" s="35">
        <v>5.6981800696064164</v>
      </c>
      <c r="W21" s="35">
        <v>5.0578689218721955</v>
      </c>
      <c r="X21" s="35">
        <v>5.4056642191415216</v>
      </c>
      <c r="Y21" s="35">
        <v>4.95019080312355</v>
      </c>
      <c r="Z21" s="35">
        <v>4.2597922763995353</v>
      </c>
      <c r="AA21" s="35"/>
      <c r="AB21" s="35">
        <v>1.811164611929301</v>
      </c>
      <c r="AC21" s="35">
        <v>1.508213029680243</v>
      </c>
      <c r="AD21" s="35">
        <v>1.6328298133318722</v>
      </c>
      <c r="AE21" s="35">
        <v>2.1420437473375995</v>
      </c>
      <c r="AF21" s="35">
        <v>2.7495783605971491</v>
      </c>
      <c r="AG21" s="35">
        <v>2.5289190338701562</v>
      </c>
      <c r="AH21" s="35">
        <v>2.8443482250319554</v>
      </c>
      <c r="AI21" s="35">
        <v>2.1274905284165162</v>
      </c>
      <c r="AJ21" s="35">
        <v>2.671400902434514</v>
      </c>
      <c r="AK21" s="35">
        <v>2.1540680519833866</v>
      </c>
      <c r="AL21" s="35">
        <v>2.5805281272038858</v>
      </c>
      <c r="AM21" s="29">
        <v>1.7802813824115473</v>
      </c>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7" t="s">
        <v>492</v>
      </c>
      <c r="B22" s="7"/>
      <c r="C22" s="35">
        <v>50.096541596068619</v>
      </c>
      <c r="D22" s="35">
        <v>1183.5005381933265</v>
      </c>
      <c r="E22" s="35">
        <v>236.70010763866532</v>
      </c>
      <c r="F22" s="35">
        <v>1420.2006458319918</v>
      </c>
      <c r="G22" s="35">
        <v>1874.7167584627332</v>
      </c>
      <c r="H22" s="35">
        <v>25.813598605470936</v>
      </c>
      <c r="I22" s="35">
        <v>248339.65102422494</v>
      </c>
      <c r="J22" s="35">
        <v>1471.2339610789686</v>
      </c>
      <c r="K22" s="35">
        <v>2752.9917395427819</v>
      </c>
      <c r="L22" s="107">
        <v>2.2125422579930672E-2</v>
      </c>
      <c r="M22" s="35">
        <v>0.4683873122380785</v>
      </c>
      <c r="N22" s="35">
        <v>2.1282420994286143E-2</v>
      </c>
      <c r="O22" s="35">
        <v>4.7602410155417694</v>
      </c>
      <c r="P22" s="35">
        <v>4.2083169111409191</v>
      </c>
      <c r="Q22" s="35">
        <v>5.1304989062639592</v>
      </c>
      <c r="R22" s="35">
        <v>4.9910125892277959</v>
      </c>
      <c r="S22" s="35">
        <v>4.4496607033250806</v>
      </c>
      <c r="T22" s="35">
        <v>4.9746595560278779</v>
      </c>
      <c r="U22" s="35">
        <v>-7.0065244096157615</v>
      </c>
      <c r="V22" s="35">
        <v>-6.6625949310919781</v>
      </c>
      <c r="W22" s="35">
        <v>0.32076401084930728</v>
      </c>
      <c r="X22" s="35">
        <v>5.0169062453719624</v>
      </c>
      <c r="Y22" s="35">
        <v>5.5147311955653322</v>
      </c>
      <c r="Z22" s="35">
        <v>4.9251705427770824</v>
      </c>
      <c r="AA22" s="35"/>
      <c r="AB22" s="35">
        <v>2.1352214275530983</v>
      </c>
      <c r="AC22" s="35">
        <v>1.7624696093034162</v>
      </c>
      <c r="AD22" s="35">
        <v>1.8650206850861342</v>
      </c>
      <c r="AE22" s="35">
        <v>2.3045711533643423</v>
      </c>
      <c r="AF22" s="35">
        <v>2.4928452888049373</v>
      </c>
      <c r="AG22" s="35">
        <v>2.3122976348807507</v>
      </c>
      <c r="AH22" s="35">
        <v>-1.0138474298618545</v>
      </c>
      <c r="AI22" s="35">
        <v>-0.4905671494556022</v>
      </c>
      <c r="AJ22" s="35">
        <v>0.98304481397403765</v>
      </c>
      <c r="AK22" s="35">
        <v>2.0870630175189944</v>
      </c>
      <c r="AL22" s="35">
        <v>2.8999574588766772</v>
      </c>
      <c r="AM22" s="29">
        <v>2.1356227506403225</v>
      </c>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t="s">
        <v>481</v>
      </c>
      <c r="B23" s="7"/>
      <c r="C23" s="35">
        <v>50.040314629419214</v>
      </c>
      <c r="D23" s="35">
        <v>1183.5005381933324</v>
      </c>
      <c r="E23" s="35">
        <v>236.70010763866651</v>
      </c>
      <c r="F23" s="35">
        <v>1420.2006458319988</v>
      </c>
      <c r="G23" s="35">
        <v>1874.7167584627423</v>
      </c>
      <c r="H23" s="35">
        <v>25.964688160135108</v>
      </c>
      <c r="I23" s="35">
        <v>248618.69373967013</v>
      </c>
      <c r="J23" s="35">
        <v>1473.1601142644085</v>
      </c>
      <c r="K23" s="35">
        <v>2755.8310346940802</v>
      </c>
      <c r="L23" s="107">
        <v>2.2019924944847204E-2</v>
      </c>
      <c r="M23" s="35">
        <v>0.4671555669459076</v>
      </c>
      <c r="N23" s="35">
        <v>2.104178715284186E-2</v>
      </c>
      <c r="O23" s="35">
        <v>4.7064184226103549</v>
      </c>
      <c r="P23" s="35">
        <v>4.160734755679627</v>
      </c>
      <c r="Q23" s="35">
        <v>5.0724899203186355</v>
      </c>
      <c r="R23" s="35">
        <v>4.938346091583556</v>
      </c>
      <c r="S23" s="35">
        <v>4.4178029189779844</v>
      </c>
      <c r="T23" s="35">
        <v>4.9392918578778575</v>
      </c>
      <c r="U23" s="35">
        <v>-6.7844636528358953</v>
      </c>
      <c r="V23" s="35">
        <v>-6.4438973923969129</v>
      </c>
      <c r="W23" s="35">
        <v>0.37489692640272099</v>
      </c>
      <c r="X23" s="35">
        <v>4.9704699641142644</v>
      </c>
      <c r="Y23" s="35">
        <v>5.4523778123446078</v>
      </c>
      <c r="Z23" s="35">
        <v>4.8694831419971205</v>
      </c>
      <c r="AA23" s="35"/>
      <c r="AB23" s="35">
        <v>2.1110791302747858</v>
      </c>
      <c r="AC23" s="35">
        <v>1.7425419031167304</v>
      </c>
      <c r="AD23" s="35">
        <v>1.8439334651713595</v>
      </c>
      <c r="AE23" s="35">
        <v>2.279554491682569</v>
      </c>
      <c r="AF23" s="35">
        <v>2.4702814205039738</v>
      </c>
      <c r="AG23" s="35">
        <v>2.2908308732985749</v>
      </c>
      <c r="AH23" s="35">
        <v>-0.9567148480467107</v>
      </c>
      <c r="AI23" s="35">
        <v>-0.45386310819997311</v>
      </c>
      <c r="AJ23" s="35">
        <v>0.99333923892452858</v>
      </c>
      <c r="AK23" s="35">
        <v>2.0667368557009729</v>
      </c>
      <c r="AL23" s="35">
        <v>2.8671685245941605</v>
      </c>
      <c r="AM23" s="29">
        <v>2.1114759157242968</v>
      </c>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c r="A24" s="7" t="s">
        <v>493</v>
      </c>
      <c r="B24" s="7"/>
      <c r="C24" s="35">
        <v>32.764624802907406</v>
      </c>
      <c r="D24" s="35">
        <v>1183.5005381933265</v>
      </c>
      <c r="E24" s="35">
        <v>236.70010763866532</v>
      </c>
      <c r="F24" s="35">
        <v>1420.2006458319918</v>
      </c>
      <c r="G24" s="35">
        <v>1874.7167584627332</v>
      </c>
      <c r="H24" s="35">
        <v>-6.8990374298423101</v>
      </c>
      <c r="I24" s="35">
        <v>379707.008162788</v>
      </c>
      <c r="J24" s="35">
        <v>2288.4685271617268</v>
      </c>
      <c r="K24" s="35">
        <v>4262.5491729940195</v>
      </c>
      <c r="L24" s="107">
        <v>8.651249589013461E-3</v>
      </c>
      <c r="M24" s="35">
        <v>0.30001018768220761</v>
      </c>
      <c r="N24" s="35">
        <v>-1.2107729772340772E-3</v>
      </c>
      <c r="O24" s="35">
        <v>-1.2684617343799307</v>
      </c>
      <c r="P24" s="35">
        <v>-0.62070770836952505</v>
      </c>
      <c r="Q24" s="35">
        <v>0.89314655873234916</v>
      </c>
      <c r="R24" s="35">
        <v>1.4365377029548891</v>
      </c>
      <c r="S24" s="35">
        <v>4.4823667357595989</v>
      </c>
      <c r="T24" s="35">
        <v>6.0659831870387801</v>
      </c>
      <c r="U24" s="35">
        <v>5.243941575606974</v>
      </c>
      <c r="V24" s="35">
        <v>5.6146892082976958</v>
      </c>
      <c r="W24" s="35">
        <v>4.5048849285350627</v>
      </c>
      <c r="X24" s="35">
        <v>3.5469138304809631</v>
      </c>
      <c r="Y24" s="35">
        <v>1.4245087785196013</v>
      </c>
      <c r="Z24" s="35">
        <v>-1.8930042761901571</v>
      </c>
      <c r="AA24" s="35"/>
      <c r="AB24" s="35">
        <v>-2.6546051326386291</v>
      </c>
      <c r="AC24" s="35">
        <v>-1.8749618112249182</v>
      </c>
      <c r="AD24" s="35">
        <v>-1.021774495049206</v>
      </c>
      <c r="AE24" s="35">
        <v>-0.39258943522354012</v>
      </c>
      <c r="AF24" s="35">
        <v>1.9657803139731813</v>
      </c>
      <c r="AG24" s="35">
        <v>2.3381856841920232</v>
      </c>
      <c r="AH24" s="35">
        <v>2.7694313393867005</v>
      </c>
      <c r="AI24" s="35">
        <v>2.0658077868167433</v>
      </c>
      <c r="AJ24" s="35">
        <v>2.245919453690763</v>
      </c>
      <c r="AK24" s="35">
        <v>0.97421304927611541</v>
      </c>
      <c r="AL24" s="35">
        <v>-0.10950933769055704</v>
      </c>
      <c r="AM24" s="29">
        <v>-2.9720713995875805</v>
      </c>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t="s">
        <v>482</v>
      </c>
      <c r="B25" s="7"/>
      <c r="C25" s="35">
        <v>31.639902913345086</v>
      </c>
      <c r="D25" s="35">
        <v>1183.5005381933324</v>
      </c>
      <c r="E25" s="35">
        <v>236.70010763866651</v>
      </c>
      <c r="F25" s="35">
        <v>1420.2006458319988</v>
      </c>
      <c r="G25" s="35">
        <v>1874.7167584627423</v>
      </c>
      <c r="H25" s="35">
        <v>-8.0676286970941131</v>
      </c>
      <c r="I25" s="35">
        <v>393204.67232663219</v>
      </c>
      <c r="J25" s="35">
        <v>2370.4090714151662</v>
      </c>
      <c r="K25" s="35">
        <v>4415.4378199361927</v>
      </c>
      <c r="L25" s="107">
        <v>8.342302613529369E-3</v>
      </c>
      <c r="M25" s="35">
        <v>0.28802535186872325</v>
      </c>
      <c r="N25" s="35">
        <v>-1.5401398661715332E-3</v>
      </c>
      <c r="O25" s="35">
        <v>-1.3514104068599837</v>
      </c>
      <c r="P25" s="35">
        <v>-0.68938206879869546</v>
      </c>
      <c r="Q25" s="35">
        <v>0.82476886793984328</v>
      </c>
      <c r="R25" s="35">
        <v>1.3702754525754122</v>
      </c>
      <c r="S25" s="35">
        <v>4.4329296512214977</v>
      </c>
      <c r="T25" s="35">
        <v>6.0201915193111368</v>
      </c>
      <c r="U25" s="35">
        <v>5.2068716307953311</v>
      </c>
      <c r="V25" s="35">
        <v>5.5752258527403322</v>
      </c>
      <c r="W25" s="35">
        <v>4.4649307088352064</v>
      </c>
      <c r="X25" s="35">
        <v>3.4911905982246787</v>
      </c>
      <c r="Y25" s="35">
        <v>1.3553302339730002</v>
      </c>
      <c r="Z25" s="35">
        <v>-1.9842270146832319</v>
      </c>
      <c r="AA25" s="35"/>
      <c r="AB25" s="35">
        <v>-2.7112105502479258</v>
      </c>
      <c r="AC25" s="35">
        <v>-1.9187442747827306</v>
      </c>
      <c r="AD25" s="35">
        <v>-1.059154257738794</v>
      </c>
      <c r="AE25" s="35">
        <v>-0.43207510585816966</v>
      </c>
      <c r="AF25" s="35">
        <v>1.939303337098101</v>
      </c>
      <c r="AG25" s="35">
        <v>2.3191309020847712</v>
      </c>
      <c r="AH25" s="35">
        <v>2.7494142033509235</v>
      </c>
      <c r="AI25" s="35">
        <v>2.0507859144385945</v>
      </c>
      <c r="AJ25" s="35">
        <v>2.2235520940773128</v>
      </c>
      <c r="AK25" s="35">
        <v>0.94771436093500161</v>
      </c>
      <c r="AL25" s="35">
        <v>-0.15387315739185597</v>
      </c>
      <c r="AM25" s="29">
        <v>-3.0316355778946802</v>
      </c>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c r="A26" s="7" t="s">
        <v>491</v>
      </c>
      <c r="B26" s="7"/>
      <c r="C26" s="35">
        <v>25.501566796410994</v>
      </c>
      <c r="D26" s="35">
        <v>1183.5005381933265</v>
      </c>
      <c r="E26" s="35">
        <v>236.70010763866532</v>
      </c>
      <c r="F26" s="35">
        <v>1420.2006458319918</v>
      </c>
      <c r="G26" s="35">
        <v>1874.7167584627332</v>
      </c>
      <c r="H26" s="35">
        <v>-23.424547288178957</v>
      </c>
      <c r="I26" s="35">
        <v>487850.71744059067</v>
      </c>
      <c r="J26" s="35">
        <v>2967.6862773585121</v>
      </c>
      <c r="K26" s="35">
        <v>5512.2395219051987</v>
      </c>
      <c r="L26" s="107">
        <v>6.4180119521450177E-3</v>
      </c>
      <c r="M26" s="35">
        <v>0.22958351313460526</v>
      </c>
      <c r="N26" s="35">
        <v>-1.353700259592094E-2</v>
      </c>
      <c r="O26" s="35">
        <v>-2.6718218887574743</v>
      </c>
      <c r="P26" s="35">
        <v>-1.2616032620158</v>
      </c>
      <c r="Q26" s="35">
        <v>8.8838034943339583E-2</v>
      </c>
      <c r="R26" s="35">
        <v>1.2072464292968983</v>
      </c>
      <c r="S26" s="35">
        <v>4.1473277913583999</v>
      </c>
      <c r="T26" s="35">
        <v>5.9621092530592019</v>
      </c>
      <c r="U26" s="35">
        <v>5.2665142145857695</v>
      </c>
      <c r="V26" s="35">
        <v>5.6489668315651418</v>
      </c>
      <c r="W26" s="35">
        <v>4.2785638721526702</v>
      </c>
      <c r="X26" s="35">
        <v>2.6527067763532903</v>
      </c>
      <c r="Y26" s="35">
        <v>0.57267653486096359</v>
      </c>
      <c r="Z26" s="35">
        <v>-3.6959787741670556</v>
      </c>
      <c r="AA26" s="35"/>
      <c r="AB26" s="35">
        <v>-2.5314001957710612</v>
      </c>
      <c r="AC26" s="35">
        <v>-1.7441886782884426</v>
      </c>
      <c r="AD26" s="35">
        <v>-0.88355315339147367</v>
      </c>
      <c r="AE26" s="35">
        <v>-1.1277346561394523E-2</v>
      </c>
      <c r="AF26" s="35">
        <v>1.9157857942750176</v>
      </c>
      <c r="AG26" s="35">
        <v>2.3336923798764087</v>
      </c>
      <c r="AH26" s="35">
        <v>2.8055502790700912</v>
      </c>
      <c r="AI26" s="35">
        <v>2.1029851120890433</v>
      </c>
      <c r="AJ26" s="35">
        <v>2.2223973848407783</v>
      </c>
      <c r="AK26" s="35">
        <v>0.73068361509821667</v>
      </c>
      <c r="AL26" s="35">
        <v>-0.28777338261801</v>
      </c>
      <c r="AM26" s="29">
        <v>-3.3468808254435558</v>
      </c>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t="s">
        <v>480</v>
      </c>
      <c r="B27" s="7"/>
      <c r="C27" s="35">
        <v>24.359737456425254</v>
      </c>
      <c r="D27" s="35">
        <v>1183.5005381933324</v>
      </c>
      <c r="E27" s="35">
        <v>236.70010763866651</v>
      </c>
      <c r="F27" s="35">
        <v>1420.2006458319988</v>
      </c>
      <c r="G27" s="35">
        <v>1874.7167584627423</v>
      </c>
      <c r="H27" s="35">
        <v>-24.715825198092716</v>
      </c>
      <c r="I27" s="35">
        <v>510718.05185678706</v>
      </c>
      <c r="J27" s="35">
        <v>3107.7875867341945</v>
      </c>
      <c r="K27" s="35">
        <v>5772.7243738645357</v>
      </c>
      <c r="L27" s="107">
        <v>6.1048464142199341E-3</v>
      </c>
      <c r="M27" s="35">
        <v>0.2172736939613098</v>
      </c>
      <c r="N27" s="35">
        <v>-1.3963938996475144E-2</v>
      </c>
      <c r="O27" s="35">
        <v>-2.7641120399014825</v>
      </c>
      <c r="P27" s="35">
        <v>-1.3332928300573716</v>
      </c>
      <c r="Q27" s="35">
        <v>1.6075273579597728E-2</v>
      </c>
      <c r="R27" s="35">
        <v>1.1417264201991524</v>
      </c>
      <c r="S27" s="35">
        <v>4.0972224749763431</v>
      </c>
      <c r="T27" s="35">
        <v>5.9176981069993984</v>
      </c>
      <c r="U27" s="35">
        <v>5.2315461728156389</v>
      </c>
      <c r="V27" s="35">
        <v>5.6118356680162389</v>
      </c>
      <c r="W27" s="35">
        <v>4.2385349938935315</v>
      </c>
      <c r="X27" s="35">
        <v>2.5914713336982573</v>
      </c>
      <c r="Y27" s="35">
        <v>0.49875742543257645</v>
      </c>
      <c r="Z27" s="35">
        <v>-3.7998475170892378</v>
      </c>
      <c r="AA27" s="35"/>
      <c r="AB27" s="35">
        <v>-2.5847890564744938</v>
      </c>
      <c r="AC27" s="35">
        <v>-1.7851508282948585</v>
      </c>
      <c r="AD27" s="35">
        <v>-0.91824301136900077</v>
      </c>
      <c r="AE27" s="35">
        <v>-4.5753693646122418E-2</v>
      </c>
      <c r="AF27" s="35">
        <v>1.8900831810277001</v>
      </c>
      <c r="AG27" s="35">
        <v>2.3155466941251195</v>
      </c>
      <c r="AH27" s="35">
        <v>2.7868788042766286</v>
      </c>
      <c r="AI27" s="35">
        <v>2.0890627743771879</v>
      </c>
      <c r="AJ27" s="35">
        <v>2.2008959815611875</v>
      </c>
      <c r="AK27" s="35">
        <v>0.70314544735680606</v>
      </c>
      <c r="AL27" s="35">
        <v>-0.33194242635451249</v>
      </c>
      <c r="AM27" s="29">
        <v>-3.407611892723041</v>
      </c>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c r="B28" s="7"/>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6"/>
  <dimension ref="A1:EA268"/>
  <sheetViews>
    <sheetView topLeftCell="A59" workbookViewId="0">
      <selection activeCell="A82" sqref="A82:EA268"/>
    </sheetView>
  </sheetViews>
  <sheetFormatPr defaultRowHeight="12.75"/>
  <cols>
    <col min="1" max="1" width="71.42578125" bestFit="1" customWidth="1"/>
    <col min="2" max="2" width="18.7109375" customWidth="1"/>
    <col min="3" max="3" width="18" customWidth="1"/>
    <col min="7" max="7" width="27" customWidth="1"/>
    <col min="15" max="15" width="11.140625" customWidth="1"/>
    <col min="16" max="16" width="18.5703125" customWidth="1"/>
  </cols>
  <sheetData>
    <row r="1" spans="1:20">
      <c r="A1" s="1" t="s">
        <v>0</v>
      </c>
      <c r="B1" s="2"/>
      <c r="C1" s="2"/>
      <c r="D1" s="2"/>
      <c r="E1" s="2"/>
      <c r="F1" s="2"/>
      <c r="G1" s="2"/>
      <c r="H1" s="3"/>
      <c r="I1" s="4"/>
      <c r="J1" s="4"/>
      <c r="K1" s="4"/>
      <c r="L1" s="4"/>
      <c r="M1" s="4"/>
      <c r="N1" s="5"/>
      <c r="O1" s="6"/>
      <c r="P1" s="5"/>
    </row>
    <row r="2" spans="1:20">
      <c r="A2" s="8" t="s">
        <v>1</v>
      </c>
      <c r="B2" s="3"/>
      <c r="C2" s="3"/>
      <c r="D2" s="3"/>
      <c r="E2" s="3"/>
      <c r="F2" s="3"/>
      <c r="G2" s="3"/>
      <c r="H2" s="3"/>
      <c r="I2" s="4"/>
      <c r="J2" s="4"/>
      <c r="K2" s="4"/>
      <c r="L2" s="4"/>
      <c r="M2" s="4"/>
      <c r="N2" s="5"/>
      <c r="O2" s="5"/>
      <c r="P2" s="5"/>
    </row>
    <row r="3" spans="1:20">
      <c r="A3" s="8" t="s">
        <v>2</v>
      </c>
      <c r="B3" s="7">
        <v>2012</v>
      </c>
      <c r="C3" s="8"/>
      <c r="D3" s="7"/>
      <c r="E3" s="7"/>
      <c r="F3" s="7"/>
      <c r="G3" s="7"/>
      <c r="H3" s="7"/>
      <c r="I3" s="7"/>
      <c r="J3" s="9"/>
      <c r="K3" s="10"/>
      <c r="L3" s="7"/>
      <c r="M3" s="7"/>
      <c r="N3" s="7"/>
      <c r="O3" s="7"/>
      <c r="P3" s="7"/>
    </row>
    <row r="4" spans="1:20">
      <c r="A4" s="7"/>
      <c r="B4" s="7"/>
      <c r="C4" s="7"/>
      <c r="D4" s="7"/>
      <c r="E4" s="7"/>
      <c r="F4" s="7"/>
      <c r="G4" s="7"/>
      <c r="H4" s="7"/>
      <c r="I4" s="7"/>
      <c r="J4" s="7"/>
      <c r="K4" s="7"/>
      <c r="L4" s="7"/>
      <c r="M4" s="7"/>
      <c r="N4" s="7"/>
      <c r="O4" s="7"/>
      <c r="P4" s="7"/>
    </row>
    <row r="5" spans="1:20">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20">
      <c r="A6" s="12" t="s">
        <v>3</v>
      </c>
      <c r="B6" s="13"/>
      <c r="C6" s="13"/>
      <c r="D6" s="13"/>
      <c r="E6" s="13"/>
      <c r="F6" s="13"/>
      <c r="G6" s="14"/>
      <c r="H6" s="15"/>
      <c r="I6" s="207" t="s">
        <v>4</v>
      </c>
      <c r="J6" s="208"/>
      <c r="K6" s="208"/>
      <c r="L6" s="208"/>
      <c r="M6" s="208"/>
      <c r="N6" s="209"/>
      <c r="O6" s="210" t="s">
        <v>5</v>
      </c>
      <c r="P6" s="211"/>
      <c r="Q6" s="84" t="s">
        <v>166</v>
      </c>
      <c r="R6" s="212" t="s">
        <v>167</v>
      </c>
      <c r="S6" s="212"/>
      <c r="T6" s="212"/>
    </row>
    <row r="7" spans="1:20"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85" t="s">
        <v>168</v>
      </c>
      <c r="R7" s="86" t="s">
        <v>169</v>
      </c>
      <c r="S7" s="86" t="s">
        <v>170</v>
      </c>
      <c r="T7" s="86" t="s">
        <v>171</v>
      </c>
    </row>
    <row r="8" spans="1:20">
      <c r="A8" t="str">
        <f>CONCATENATE(Segmented!A330," ",Segmented!C330)</f>
        <v>Single Family Tier1_buffered</v>
      </c>
      <c r="B8" t="str">
        <f>Segmented!D330</f>
        <v>DHWkwh</v>
      </c>
      <c r="C8" s="41">
        <f>IF(Segmented!E330=0,0.00001,Segmented!E330)</f>
        <v>1044.4554410885651</v>
      </c>
      <c r="D8">
        <f>Segmented!F330</f>
        <v>13</v>
      </c>
      <c r="E8">
        <f>Segmented!G330</f>
        <v>724.5875237038573</v>
      </c>
      <c r="F8">
        <f>Segmented!H330</f>
        <v>0</v>
      </c>
      <c r="G8" t="str">
        <f>IF(Segmented!I330="ResDHW","R-All-WH-WHConvert-All-All-N",IF(Segmented!I330="ResSPHtFAFZ1","R-All-HVAC-ER-All-All-E",IF(Segmented!I330="ResSpHtBBZ1","R-All-HVAC-Zonal-All-All-E","R-All-HVAC-CAC-All-All-E")))</f>
        <v>R-All-WH-WHConvert-All-All-N</v>
      </c>
      <c r="H8">
        <f>Segmented!J330</f>
        <v>0</v>
      </c>
      <c r="I8">
        <f>Segmented!K330</f>
        <v>0</v>
      </c>
      <c r="J8">
        <f>Segmented!L330</f>
        <v>0</v>
      </c>
      <c r="K8">
        <f>Segmented!M330</f>
        <v>0</v>
      </c>
      <c r="L8">
        <f>Segmented!N330</f>
        <v>0</v>
      </c>
      <c r="M8">
        <f>Segmented!O330</f>
        <v>0</v>
      </c>
      <c r="N8">
        <f>Segmented!P330</f>
        <v>0</v>
      </c>
      <c r="O8">
        <f>Segmented!Q330</f>
        <v>0</v>
      </c>
      <c r="P8" t="str">
        <f>IF(O8=0,Segmented!R330,IF(Segmented!R330="ResSPHtFAFZ1","R-All-HVAC-ER-All-All-E",IF(Segmented!R330="ResSpHtBBZ1","R-All-HVAC-Zonal-All-All-E","R-All-HVAC-ASHP-All-All-E")))</f>
        <v/>
      </c>
      <c r="Q8" t="s">
        <v>172</v>
      </c>
    </row>
    <row r="9" spans="1:20">
      <c r="A9" t="str">
        <f>CONCATENATE(Segmented!A331," ",Segmented!C331)</f>
        <v>Single Family Tier1_buffered</v>
      </c>
      <c r="B9" t="str">
        <f>Segmented!D331</f>
        <v>Heatkwh</v>
      </c>
      <c r="C9" s="41">
        <f>IF(Segmented!E331=0,0.00001,Segmented!E331)</f>
        <v>1.0000000000000001E-5</v>
      </c>
      <c r="D9">
        <f>Segmented!F331</f>
        <v>13</v>
      </c>
      <c r="E9">
        <f>Segmented!G331</f>
        <v>0</v>
      </c>
      <c r="F9">
        <f>Segmented!H331</f>
        <v>0</v>
      </c>
      <c r="G9" t="str">
        <f>IF(Segmented!I331="ResDHW","R-All-WH-WHConvert-All-All-N",IF(Segmented!I331="ResSPHtFAFZ1","R-All-HVAC-ER-All-All-E",IF(Segmented!I331="ResSpHtBBZ1","R-All-HVAC-Zonal-All-All-E","R-All-HVAC-CAC-All-All-E")))</f>
        <v>R-All-HVAC-ER-All-All-E</v>
      </c>
      <c r="H9">
        <f>Segmented!J331</f>
        <v>0</v>
      </c>
      <c r="I9">
        <f>Segmented!K331</f>
        <v>0</v>
      </c>
      <c r="J9">
        <f>Segmented!L331</f>
        <v>0</v>
      </c>
      <c r="K9">
        <f>Segmented!M331</f>
        <v>0</v>
      </c>
      <c r="L9">
        <f>Segmented!N331</f>
        <v>0</v>
      </c>
      <c r="M9">
        <f>Segmented!O331</f>
        <v>0</v>
      </c>
      <c r="N9">
        <f>Segmented!P331</f>
        <v>0</v>
      </c>
      <c r="O9">
        <f>Segmented!Q331</f>
        <v>0</v>
      </c>
      <c r="P9" t="str">
        <f>IF(O9=0,Segmented!R331,IF(Segmented!R331="ResSPHtFAFZ1","R-All-HVAC-ER-All-All-E",IF(Segmented!R331="ResSpHtBBZ1","R-All-HVAC-Zonal-All-All-E","R-All-HVAC-ASHP-All-All-E")))</f>
        <v/>
      </c>
      <c r="Q9" t="s">
        <v>172</v>
      </c>
    </row>
    <row r="10" spans="1:20">
      <c r="A10" t="str">
        <f>CONCATENATE(Segmented!A332," ",Segmented!C332)</f>
        <v>Single Family Tier1_buffered</v>
      </c>
      <c r="B10" t="str">
        <f>Segmented!D332</f>
        <v>Coolkwh</v>
      </c>
      <c r="C10" s="41">
        <f>IF(Segmented!E332=0,0.00001,Segmented!E332)</f>
        <v>1.0000000000000001E-5</v>
      </c>
      <c r="D10">
        <f>Segmented!F332</f>
        <v>13</v>
      </c>
      <c r="E10">
        <f>Segmented!G332</f>
        <v>0</v>
      </c>
      <c r="F10">
        <f>Segmented!H332</f>
        <v>0</v>
      </c>
      <c r="G10" t="str">
        <f>IF(Segmented!I332="ResDHW","R-All-WH-WHConvert-All-All-N",IF(Segmented!I332="ResSPHtFAFZ1","R-All-HVAC-ER-All-All-E",IF(Segmented!I332="ResSpHtBBZ1","R-All-HVAC-Zonal-All-All-E","R-All-HVAC-CAC-All-All-E")))</f>
        <v>R-All-HVAC-CAC-All-All-E</v>
      </c>
      <c r="H10">
        <f>Segmented!J332</f>
        <v>0</v>
      </c>
      <c r="I10">
        <f>Segmented!K332</f>
        <v>0</v>
      </c>
      <c r="J10">
        <f>Segmented!L332</f>
        <v>0</v>
      </c>
      <c r="K10">
        <f>Segmented!M332</f>
        <v>0</v>
      </c>
      <c r="L10">
        <f>Segmented!N332</f>
        <v>0</v>
      </c>
      <c r="M10">
        <f>Segmented!O332</f>
        <v>0</v>
      </c>
      <c r="N10">
        <f>Segmented!P332</f>
        <v>0</v>
      </c>
      <c r="O10">
        <f>Segmented!Q332</f>
        <v>0</v>
      </c>
      <c r="P10" t="str">
        <f>IF(O10=0,Segmented!R332,IF(Segmented!R332="ResSPHtFAFZ1","R-All-HVAC-ER-All-All-E",IF(Segmented!R332="ResSpHtBBZ1","R-All-HVAC-Zonal-All-All-E","R-All-HVAC-ASHP-All-All-E")))</f>
        <v/>
      </c>
      <c r="Q10" t="s">
        <v>172</v>
      </c>
    </row>
    <row r="11" spans="1:20">
      <c r="A11" t="str">
        <f>CONCATENATE(Segmented!A333," ",Segmented!C333)</f>
        <v>Single Family Tier1_indor2_gfnc</v>
      </c>
      <c r="B11" t="str">
        <f>Segmented!D333</f>
        <v>DHWkwh</v>
      </c>
      <c r="C11" s="41">
        <f>IF(Segmented!E333=0,0.00001,Segmented!E333)</f>
        <v>1262.9314874582285</v>
      </c>
      <c r="D11">
        <f>Segmented!F333</f>
        <v>13</v>
      </c>
      <c r="E11">
        <f>Segmented!G333</f>
        <v>724.58752370386082</v>
      </c>
      <c r="F11">
        <f>Segmented!H333</f>
        <v>0</v>
      </c>
      <c r="G11" t="str">
        <f>IF(Segmented!I333="ResDHW","R-All-WH-WHConvert-All-All-N",IF(Segmented!I333="ResSPHtFAFZ1","R-All-HVAC-ER-All-All-E",IF(Segmented!I333="ResSpHtBBZ1","R-All-HVAC-Zonal-All-All-E","R-All-HVAC-CAC-All-All-E")))</f>
        <v>R-All-WH-WHConvert-All-All-N</v>
      </c>
      <c r="H11">
        <f>Segmented!J333</f>
        <v>-4.9255579747381395</v>
      </c>
      <c r="I11">
        <f>Segmented!K333</f>
        <v>0</v>
      </c>
      <c r="J11">
        <f>Segmented!L333</f>
        <v>0</v>
      </c>
      <c r="K11">
        <f>Segmented!M333</f>
        <v>0</v>
      </c>
      <c r="L11">
        <f>Segmented!N333</f>
        <v>0</v>
      </c>
      <c r="M11">
        <f>Segmented!O333</f>
        <v>0</v>
      </c>
      <c r="N11">
        <f>Segmented!P333</f>
        <v>0</v>
      </c>
      <c r="O11">
        <f>Segmented!Q333</f>
        <v>0</v>
      </c>
      <c r="P11" t="str">
        <f>IF(O11=0,Segmented!R333,IF(Segmented!R333="ResSPHtFAFZ1","R-All-HVAC-ER-All-All-E",IF(Segmented!R333="ResSpHtBBZ1","R-All-HVAC-Zonal-All-All-E","R-All-HVAC-ASHP-All-All-E")))</f>
        <v/>
      </c>
      <c r="Q11" t="s">
        <v>172</v>
      </c>
    </row>
    <row r="12" spans="1:20">
      <c r="A12" t="str">
        <f>CONCATENATE(Segmented!A334," ",Segmented!C334)</f>
        <v>Single Family Tier1_indor2_gfnc</v>
      </c>
      <c r="B12" t="str">
        <f>Segmented!D334</f>
        <v>Heatkwh</v>
      </c>
      <c r="C12" s="41">
        <f>IF(Segmented!E334=0,0.00001,Segmented!E334)</f>
        <v>-12.937686790988048</v>
      </c>
      <c r="D12">
        <f>Segmented!F334</f>
        <v>13</v>
      </c>
      <c r="E12">
        <f>Segmented!G334</f>
        <v>0</v>
      </c>
      <c r="F12">
        <f>Segmented!H334</f>
        <v>0</v>
      </c>
      <c r="G12" t="str">
        <f>IF(Segmented!I334="ResDHW","R-All-WH-WHConvert-All-All-N",IF(Segmented!I334="ResSPHtFAFZ1","R-All-HVAC-ER-All-All-E",IF(Segmented!I334="ResSpHtBBZ1","R-All-HVAC-Zonal-All-All-E","R-All-HVAC-CAC-All-All-E")))</f>
        <v>R-All-HVAC-ER-All-All-E</v>
      </c>
      <c r="H12">
        <f>Segmented!J334</f>
        <v>-4.9255579747381395</v>
      </c>
      <c r="I12">
        <f>Segmented!K334</f>
        <v>0</v>
      </c>
      <c r="J12">
        <f>Segmented!L334</f>
        <v>0</v>
      </c>
      <c r="K12">
        <f>Segmented!M334</f>
        <v>0</v>
      </c>
      <c r="L12">
        <f>Segmented!N334</f>
        <v>0</v>
      </c>
      <c r="M12">
        <f>Segmented!O334</f>
        <v>0</v>
      </c>
      <c r="N12">
        <f>Segmented!P334</f>
        <v>0</v>
      </c>
      <c r="O12">
        <f>Segmented!Q334</f>
        <v>-19.089591168950285</v>
      </c>
      <c r="P12" t="str">
        <f>IF(O12=0,Segmented!R334,IF(Segmented!R334="ResSPHtFAFZ1","R-All-HVAC-ER-All-All-E",IF(Segmented!R334="ResSpHtBBZ1","R-All-HVAC-Zonal-All-All-E","R-All-HVAC-ASHP-All-All-E")))</f>
        <v>R-All-HVAC-ER-All-All-E</v>
      </c>
      <c r="Q12" t="s">
        <v>172</v>
      </c>
    </row>
    <row r="13" spans="1:20">
      <c r="A13" t="str">
        <f>CONCATENATE(Segmented!A335," ",Segmented!C335)</f>
        <v>Single Family Tier1_indor2_gfnc</v>
      </c>
      <c r="B13" t="str">
        <f>Segmented!D335</f>
        <v>Coolkwh</v>
      </c>
      <c r="C13" s="41">
        <f>IF(Segmented!E335=0,0.00001,Segmented!E335)</f>
        <v>1.0000000000000001E-5</v>
      </c>
      <c r="D13">
        <f>Segmented!F335</f>
        <v>13</v>
      </c>
      <c r="E13">
        <f>Segmented!G335</f>
        <v>0</v>
      </c>
      <c r="F13">
        <f>Segmented!H335</f>
        <v>0</v>
      </c>
      <c r="G13" t="str">
        <f>IF(Segmented!I335="ResDHW","R-All-WH-WHConvert-All-All-N",IF(Segmented!I335="ResSPHtFAFZ1","R-All-HVAC-ER-All-All-E",IF(Segmented!I335="ResSpHtBBZ1","R-All-HVAC-Zonal-All-All-E","R-All-HVAC-CAC-All-All-E")))</f>
        <v>R-All-HVAC-CAC-All-All-E</v>
      </c>
      <c r="H13">
        <f>Segmented!J335</f>
        <v>-4.9255579747381395</v>
      </c>
      <c r="I13">
        <f>Segmented!K335</f>
        <v>0</v>
      </c>
      <c r="J13">
        <f>Segmented!L335</f>
        <v>0</v>
      </c>
      <c r="K13">
        <f>Segmented!M335</f>
        <v>0</v>
      </c>
      <c r="L13">
        <f>Segmented!N335</f>
        <v>0</v>
      </c>
      <c r="M13">
        <f>Segmented!O335</f>
        <v>0</v>
      </c>
      <c r="N13">
        <f>Segmented!P335</f>
        <v>0</v>
      </c>
      <c r="O13">
        <f>Segmented!Q335</f>
        <v>0</v>
      </c>
      <c r="P13" t="str">
        <f>IF(O13=0,Segmented!R335,IF(Segmented!R335="ResSPHtFAFZ1","R-All-HVAC-ER-All-All-E",IF(Segmented!R335="ResSpHtBBZ1","R-All-HVAC-Zonal-All-All-E","R-All-HVAC-ASHP-All-All-E")))</f>
        <v/>
      </c>
      <c r="Q13" t="s">
        <v>172</v>
      </c>
    </row>
    <row r="14" spans="1:20">
      <c r="A14" t="str">
        <f>CONCATENATE(Segmented!A336," ",Segmented!C336)</f>
        <v>Single Family Tier1_indor2_gfac</v>
      </c>
      <c r="B14" t="str">
        <f>Segmented!D336</f>
        <v>DHWkwh</v>
      </c>
      <c r="C14" s="41">
        <f>IF(Segmented!E336=0,0.00001,Segmented!E336)</f>
        <v>1249.1941493493205</v>
      </c>
      <c r="D14">
        <f>Segmented!F336</f>
        <v>13</v>
      </c>
      <c r="E14">
        <f>Segmented!G336</f>
        <v>724.58752370386082</v>
      </c>
      <c r="F14">
        <f>Segmented!H336</f>
        <v>0</v>
      </c>
      <c r="G14" t="str">
        <f>IF(Segmented!I336="ResDHW","R-All-WH-WHConvert-All-All-N",IF(Segmented!I336="ResSPHtFAFZ1","R-All-HVAC-ER-All-All-E",IF(Segmented!I336="ResSpHtBBZ1","R-All-HVAC-Zonal-All-All-E","R-All-HVAC-CAC-All-All-E")))</f>
        <v>R-All-WH-WHConvert-All-All-N</v>
      </c>
      <c r="H14">
        <f>Segmented!J336</f>
        <v>-4.9771646852628919</v>
      </c>
      <c r="I14">
        <f>Segmented!K336</f>
        <v>0</v>
      </c>
      <c r="J14">
        <f>Segmented!L336</f>
        <v>0</v>
      </c>
      <c r="K14">
        <f>Segmented!M336</f>
        <v>0</v>
      </c>
      <c r="L14">
        <f>Segmented!N336</f>
        <v>0</v>
      </c>
      <c r="M14">
        <f>Segmented!O336</f>
        <v>0</v>
      </c>
      <c r="N14">
        <f>Segmented!P336</f>
        <v>0</v>
      </c>
      <c r="O14">
        <f>Segmented!Q336</f>
        <v>0</v>
      </c>
      <c r="P14" t="str">
        <f>IF(O14=0,Segmented!R336,IF(Segmented!R336="ResSPHtFAFZ1","R-All-HVAC-ER-All-All-E",IF(Segmented!R336="ResSpHtBBZ1","R-All-HVAC-Zonal-All-All-E","R-All-HVAC-ASHP-All-All-E")))</f>
        <v/>
      </c>
      <c r="Q14" t="s">
        <v>172</v>
      </c>
    </row>
    <row r="15" spans="1:20">
      <c r="A15" t="str">
        <f>CONCATENATE(Segmented!A337," ",Segmented!C337)</f>
        <v>Single Family Tier1_indor2_gfac</v>
      </c>
      <c r="B15" t="str">
        <f>Segmented!D337</f>
        <v>Heatkwh</v>
      </c>
      <c r="C15" s="41">
        <f>IF(Segmented!E337=0,0.00001,Segmented!E337)</f>
        <v>-14.21533115333802</v>
      </c>
      <c r="D15">
        <f>Segmented!F337</f>
        <v>13</v>
      </c>
      <c r="E15">
        <f>Segmented!G337</f>
        <v>0</v>
      </c>
      <c r="F15">
        <f>Segmented!H337</f>
        <v>0</v>
      </c>
      <c r="G15" t="str">
        <f>IF(Segmented!I337="ResDHW","R-All-WH-WHConvert-All-All-N",IF(Segmented!I337="ResSPHtFAFZ1","R-All-HVAC-ER-All-All-E",IF(Segmented!I337="ResSpHtBBZ1","R-All-HVAC-Zonal-All-All-E","R-All-HVAC-CAC-All-All-E")))</f>
        <v>R-All-HVAC-ER-All-All-E</v>
      </c>
      <c r="H15">
        <f>Segmented!J337</f>
        <v>-4.9771646852628919</v>
      </c>
      <c r="I15">
        <f>Segmented!K337</f>
        <v>0</v>
      </c>
      <c r="J15">
        <f>Segmented!L337</f>
        <v>0</v>
      </c>
      <c r="K15">
        <f>Segmented!M337</f>
        <v>0</v>
      </c>
      <c r="L15">
        <f>Segmented!N337</f>
        <v>0</v>
      </c>
      <c r="M15">
        <f>Segmented!O337</f>
        <v>0</v>
      </c>
      <c r="N15">
        <f>Segmented!P337</f>
        <v>0</v>
      </c>
      <c r="O15">
        <f>Segmented!Q337</f>
        <v>-19.245784201841445</v>
      </c>
      <c r="P15" t="str">
        <f>IF(O15=0,Segmented!R337,IF(Segmented!R337="ResSPHtFAFZ1","R-All-HVAC-ER-All-All-E",IF(Segmented!R337="ResSpHtBBZ1","R-All-HVAC-Zonal-All-All-E","R-All-HVAC-ASHP-All-All-E")))</f>
        <v>R-All-HVAC-ER-All-All-E</v>
      </c>
      <c r="Q15" t="s">
        <v>172</v>
      </c>
    </row>
    <row r="16" spans="1:20">
      <c r="A16" t="str">
        <f>CONCATENATE(Segmented!A338," ",Segmented!C338)</f>
        <v>Single Family Tier1_indor2_gfac</v>
      </c>
      <c r="B16" t="str">
        <f>Segmented!D338</f>
        <v>Coolkwh</v>
      </c>
      <c r="C16" s="41">
        <f>IF(Segmented!E338=0,0.00001,Segmented!E338)</f>
        <v>30.496074316971505</v>
      </c>
      <c r="D16">
        <f>Segmented!F338</f>
        <v>13</v>
      </c>
      <c r="E16">
        <f>Segmented!G338</f>
        <v>0</v>
      </c>
      <c r="F16">
        <f>Segmented!H338</f>
        <v>0</v>
      </c>
      <c r="G16" t="str">
        <f>IF(Segmented!I338="ResDHW","R-All-WH-WHConvert-All-All-N",IF(Segmented!I338="ResSPHtFAFZ1","R-All-HVAC-ER-All-All-E",IF(Segmented!I338="ResSpHtBBZ1","R-All-HVAC-Zonal-All-All-E","R-All-HVAC-CAC-All-All-E")))</f>
        <v>R-All-HVAC-CAC-All-All-E</v>
      </c>
      <c r="H16">
        <f>Segmented!J338</f>
        <v>-4.9771646852628919</v>
      </c>
      <c r="I16">
        <f>Segmented!K338</f>
        <v>0</v>
      </c>
      <c r="J16">
        <f>Segmented!L338</f>
        <v>0</v>
      </c>
      <c r="K16">
        <f>Segmented!M338</f>
        <v>0</v>
      </c>
      <c r="L16">
        <f>Segmented!N338</f>
        <v>0</v>
      </c>
      <c r="M16">
        <f>Segmented!O338</f>
        <v>0</v>
      </c>
      <c r="N16">
        <f>Segmented!P338</f>
        <v>0</v>
      </c>
      <c r="O16">
        <f>Segmented!Q338</f>
        <v>0</v>
      </c>
      <c r="P16" t="str">
        <f>IF(O16=0,Segmented!R338,IF(Segmented!R338="ResSPHtFAFZ1","R-All-HVAC-ER-All-All-E",IF(Segmented!R338="ResSpHtBBZ1","R-All-HVAC-Zonal-All-All-E","R-All-HVAC-ASHP-All-All-E")))</f>
        <v/>
      </c>
      <c r="Q16" t="s">
        <v>172</v>
      </c>
    </row>
    <row r="17" spans="1:38">
      <c r="A17" t="str">
        <f>CONCATENATE(Segmented!A339," ",Segmented!C339)</f>
        <v>Single Family Tier1_indor2_efaf</v>
      </c>
      <c r="B17" t="str">
        <f>Segmented!D339</f>
        <v>DHWkwh</v>
      </c>
      <c r="C17" s="41">
        <f>IF(Segmented!E339=0,0.00001,Segmented!E339)</f>
        <v>1262.9314874582285</v>
      </c>
      <c r="D17">
        <f>Segmented!F339</f>
        <v>13</v>
      </c>
      <c r="E17">
        <f>Segmented!G339</f>
        <v>724.58752370386082</v>
      </c>
      <c r="F17">
        <f>Segmented!H339</f>
        <v>0</v>
      </c>
      <c r="G17" t="str">
        <f>IF(Segmented!I339="ResDHW","R-All-WH-WHConvert-All-All-N",IF(Segmented!I339="ResSPHtFAFZ1","R-All-HVAC-ER-All-All-E",IF(Segmented!I339="ResSpHtBBZ1","R-All-HVAC-Zonal-All-All-E","R-All-HVAC-CAC-All-All-E")))</f>
        <v>R-All-WH-WHConvert-All-All-N</v>
      </c>
      <c r="H17">
        <f>Segmented!J339</f>
        <v>-3.4721159669139707</v>
      </c>
      <c r="I17">
        <f>Segmented!K339</f>
        <v>0</v>
      </c>
      <c r="J17">
        <f>Segmented!L339</f>
        <v>0</v>
      </c>
      <c r="K17">
        <f>Segmented!M339</f>
        <v>0</v>
      </c>
      <c r="L17">
        <f>Segmented!N339</f>
        <v>0</v>
      </c>
      <c r="M17">
        <f>Segmented!O339</f>
        <v>0</v>
      </c>
      <c r="N17">
        <f>Segmented!P339</f>
        <v>0</v>
      </c>
      <c r="O17">
        <f>Segmented!Q339</f>
        <v>0</v>
      </c>
      <c r="P17" t="str">
        <f>IF(O17=0,Segmented!R339,IF(Segmented!R339="ResSPHtFAFZ1","R-All-HVAC-ER-All-All-E",IF(Segmented!R339="ResSpHtBBZ1","R-All-HVAC-Zonal-All-All-E","R-All-HVAC-ASHP-All-All-E")))</f>
        <v/>
      </c>
      <c r="Q17" t="s">
        <v>172</v>
      </c>
    </row>
    <row r="18" spans="1:38">
      <c r="A18" t="str">
        <f>CONCATENATE(Segmented!A340," ",Segmented!C340)</f>
        <v>Single Family Tier1_indor2_efaf</v>
      </c>
      <c r="B18" t="str">
        <f>Segmented!D340</f>
        <v>Heatkwh</v>
      </c>
      <c r="C18" s="41">
        <f>IF(Segmented!E340=0,0.00001,Segmented!E340)</f>
        <v>-343.38499278934376</v>
      </c>
      <c r="D18">
        <f>Segmented!F340</f>
        <v>13</v>
      </c>
      <c r="E18">
        <f>Segmented!G340</f>
        <v>0</v>
      </c>
      <c r="F18">
        <f>Segmented!H340</f>
        <v>0</v>
      </c>
      <c r="G18" t="str">
        <f>IF(Segmented!I340="ResDHW","R-All-WH-WHConvert-All-All-N",IF(Segmented!I340="ResSPHtFAFZ1","R-All-HVAC-ER-All-All-E",IF(Segmented!I340="ResSpHtBBZ1","R-All-HVAC-Zonal-All-All-E","R-All-HVAC-CAC-All-All-E")))</f>
        <v>R-All-HVAC-ER-All-All-E</v>
      </c>
      <c r="H18">
        <f>Segmented!J340</f>
        <v>-3.4721159669139707</v>
      </c>
      <c r="I18">
        <f>Segmented!K340</f>
        <v>0</v>
      </c>
      <c r="J18">
        <f>Segmented!L340</f>
        <v>0</v>
      </c>
      <c r="K18">
        <f>Segmented!M340</f>
        <v>0</v>
      </c>
      <c r="L18">
        <f>Segmented!N340</f>
        <v>0</v>
      </c>
      <c r="M18">
        <f>Segmented!O340</f>
        <v>0</v>
      </c>
      <c r="N18">
        <f>Segmented!P340</f>
        <v>0</v>
      </c>
      <c r="O18">
        <f>Segmented!Q340</f>
        <v>-0.68804709837682176</v>
      </c>
      <c r="P18" t="str">
        <f>IF(O18=0,Segmented!R340,IF(Segmented!R340="ResSPHtFAFZ1","R-All-HVAC-ER-All-All-E",IF(Segmented!R340="ResSpHtBBZ1","R-All-HVAC-Zonal-All-All-E","R-All-HVAC-ASHP-All-All-E")))</f>
        <v>R-All-HVAC-ER-All-All-E</v>
      </c>
      <c r="Q18" t="s">
        <v>172</v>
      </c>
    </row>
    <row r="19" spans="1:38">
      <c r="A19" t="str">
        <f>CONCATENATE(Segmented!A341," ",Segmented!C341)</f>
        <v>Single Family Tier1_indor2_efaf</v>
      </c>
      <c r="B19" t="str">
        <f>Segmented!D341</f>
        <v>Coolkwh</v>
      </c>
      <c r="C19" s="41">
        <f>IF(Segmented!E341=0,0.00001,Segmented!E341)</f>
        <v>1.0000000000000001E-5</v>
      </c>
      <c r="D19">
        <f>Segmented!F341</f>
        <v>13</v>
      </c>
      <c r="E19">
        <f>Segmented!G341</f>
        <v>0</v>
      </c>
      <c r="F19">
        <f>Segmented!H341</f>
        <v>0</v>
      </c>
      <c r="G19" t="str">
        <f>IF(Segmented!I341="ResDHW","R-All-WH-WHConvert-All-All-N",IF(Segmented!I341="ResSPHtFAFZ1","R-All-HVAC-ER-All-All-E",IF(Segmented!I341="ResSpHtBBZ1","R-All-HVAC-Zonal-All-All-E","R-All-HVAC-CAC-All-All-E")))</f>
        <v>R-All-HVAC-CAC-All-All-E</v>
      </c>
      <c r="H19">
        <f>Segmented!J341</f>
        <v>-3.4721159669139707</v>
      </c>
      <c r="I19">
        <f>Segmented!K341</f>
        <v>0</v>
      </c>
      <c r="J19">
        <f>Segmented!L341</f>
        <v>0</v>
      </c>
      <c r="K19">
        <f>Segmented!M341</f>
        <v>0</v>
      </c>
      <c r="L19">
        <f>Segmented!N341</f>
        <v>0</v>
      </c>
      <c r="M19">
        <f>Segmented!O341</f>
        <v>0</v>
      </c>
      <c r="N19">
        <f>Segmented!P341</f>
        <v>0</v>
      </c>
      <c r="O19">
        <f>Segmented!Q341</f>
        <v>0</v>
      </c>
      <c r="P19" t="str">
        <f>IF(O19=0,Segmented!R341,IF(Segmented!R341="ResSPHtFAFZ1","R-All-HVAC-ER-All-All-E",IF(Segmented!R341="ResSpHtBBZ1","R-All-HVAC-Zonal-All-All-E","R-All-HVAC-ASHP-All-All-E")))</f>
        <v/>
      </c>
      <c r="Q19" t="s">
        <v>172</v>
      </c>
    </row>
    <row r="20" spans="1:38">
      <c r="A20" t="str">
        <f>CONCATENATE(Segmented!A342," ",Segmented!C342)</f>
        <v>Single Family Tier1_indor2_hp85</v>
      </c>
      <c r="B20" t="str">
        <f>Segmented!D342</f>
        <v>DHWkwh</v>
      </c>
      <c r="C20" s="41">
        <f>IF(Segmented!E342=0,0.00001,Segmented!E342)</f>
        <v>1249.1975039460601</v>
      </c>
      <c r="D20">
        <f>Segmented!F342</f>
        <v>13</v>
      </c>
      <c r="E20">
        <f>Segmented!G342</f>
        <v>724.58752370386082</v>
      </c>
      <c r="F20">
        <f>Segmented!H342</f>
        <v>0</v>
      </c>
      <c r="G20" t="str">
        <f>IF(Segmented!I342="ResDHW","R-All-WH-WHConvert-All-All-N",IF(Segmented!I342="ResSPHtFAFZ1","R-All-HVAC-ER-All-All-E",IF(Segmented!I342="ResSpHtBBZ1","R-All-HVAC-Zonal-All-All-E","R-All-HVAC-CAC-All-All-E")))</f>
        <v>R-All-WH-WHConvert-All-All-N</v>
      </c>
      <c r="H20">
        <f>Segmented!J342</f>
        <v>-1.8436624948097922</v>
      </c>
      <c r="I20">
        <f>Segmented!K342</f>
        <v>0</v>
      </c>
      <c r="J20">
        <f>Segmented!L342</f>
        <v>0</v>
      </c>
      <c r="K20">
        <f>Segmented!M342</f>
        <v>0</v>
      </c>
      <c r="L20">
        <f>Segmented!N342</f>
        <v>0</v>
      </c>
      <c r="M20">
        <f>Segmented!O342</f>
        <v>0</v>
      </c>
      <c r="N20">
        <f>Segmented!P342</f>
        <v>0</v>
      </c>
      <c r="O20">
        <f>Segmented!Q342</f>
        <v>0</v>
      </c>
      <c r="P20" t="str">
        <f>IF(O20=0,Segmented!R342,IF(Segmented!R342="ResSPHtFAFZ1","R-All-HVAC-ER-All-All-E",IF(Segmented!R342="ResSpHtBBZ1","R-All-HVAC-Zonal-All-All-E","R-All-HVAC-ASHP-All-All-E")))</f>
        <v/>
      </c>
      <c r="Q20" t="s">
        <v>172</v>
      </c>
    </row>
    <row r="21" spans="1:38">
      <c r="A21" t="str">
        <f>CONCATENATE(Segmented!A343," ",Segmented!C343)</f>
        <v>Single Family Tier1_indor2_hp85</v>
      </c>
      <c r="B21" t="str">
        <f>Segmented!D343</f>
        <v>Heatkwh</v>
      </c>
      <c r="C21" s="41">
        <f>IF(Segmented!E343=0,0.00001,Segmented!E343)</f>
        <v>-182.52849826785342</v>
      </c>
      <c r="D21">
        <f>Segmented!F343</f>
        <v>13</v>
      </c>
      <c r="E21">
        <f>Segmented!G343</f>
        <v>0</v>
      </c>
      <c r="F21">
        <f>Segmented!H343</f>
        <v>0</v>
      </c>
      <c r="G21" t="str">
        <f>IF(Segmented!I343="ResDHW","R-All-WH-WHConvert-All-All-N",IF(Segmented!I343="ResSPHtFAFZ1","R-All-HVAC-ER-All-All-E",IF(Segmented!I343="ResSpHtBBZ1","R-All-HVAC-Zonal-All-All-E","R-All-HVAC-CAC-All-All-E")))</f>
        <v>R-All-HVAC-CAC-All-All-E</v>
      </c>
      <c r="H21">
        <f>Segmented!J343</f>
        <v>-1.8436624948097922</v>
      </c>
      <c r="I21">
        <f>Segmented!K343</f>
        <v>0</v>
      </c>
      <c r="J21">
        <f>Segmented!L343</f>
        <v>0</v>
      </c>
      <c r="K21">
        <f>Segmented!M343</f>
        <v>0</v>
      </c>
      <c r="L21">
        <f>Segmented!N343</f>
        <v>0</v>
      </c>
      <c r="M21">
        <f>Segmented!O343</f>
        <v>0</v>
      </c>
      <c r="N21">
        <f>Segmented!P343</f>
        <v>0</v>
      </c>
      <c r="O21">
        <f>Segmented!Q343</f>
        <v>-0.34795232134875137</v>
      </c>
      <c r="P21" t="str">
        <f>IF(O21=0,Segmented!R343,IF(Segmented!R343="ResSPHtFAFZ1","R-All-HVAC-ER-All-All-E",IF(Segmented!R343="ResSpHtBBZ1","R-All-HVAC-Zonal-All-All-E","R-All-HVAC-ASHP-All-All-E")))</f>
        <v>R-All-HVAC-ASHP-All-All-E</v>
      </c>
      <c r="Q21" t="s">
        <v>172</v>
      </c>
    </row>
    <row r="22" spans="1:38">
      <c r="A22" t="str">
        <f>CONCATENATE(Segmented!A344," ",Segmented!C344)</f>
        <v>Single Family Tier1_indor2_hp85</v>
      </c>
      <c r="B22" t="str">
        <f>Segmented!D344</f>
        <v>Coolkwh</v>
      </c>
      <c r="C22" s="41">
        <f>IF(Segmented!E344=0,0.00001,Segmented!E344)</f>
        <v>30.673640966300958</v>
      </c>
      <c r="D22">
        <f>Segmented!F344</f>
        <v>13</v>
      </c>
      <c r="E22">
        <f>Segmented!G344</f>
        <v>0</v>
      </c>
      <c r="F22">
        <f>Segmented!H344</f>
        <v>0</v>
      </c>
      <c r="G22" t="str">
        <f>IF(Segmented!I344="ResDHW","R-All-WH-WHConvert-All-All-N",IF(Segmented!I344="ResSPHtFAFZ1","R-All-HVAC-ER-All-All-E",IF(Segmented!I344="ResSpHtBBZ1","R-All-HVAC-Zonal-All-All-E","R-All-HVAC-CAC-All-All-E")))</f>
        <v>R-All-HVAC-CAC-All-All-E</v>
      </c>
      <c r="H22">
        <f>Segmented!J344</f>
        <v>-1.8436624948097922</v>
      </c>
      <c r="I22">
        <f>Segmented!K344</f>
        <v>0</v>
      </c>
      <c r="J22">
        <f>Segmented!L344</f>
        <v>0</v>
      </c>
      <c r="K22">
        <f>Segmented!M344</f>
        <v>0</v>
      </c>
      <c r="L22">
        <f>Segmented!N344</f>
        <v>0</v>
      </c>
      <c r="M22">
        <f>Segmented!O344</f>
        <v>0</v>
      </c>
      <c r="N22">
        <f>Segmented!P344</f>
        <v>0</v>
      </c>
      <c r="O22">
        <f>Segmented!Q344</f>
        <v>0</v>
      </c>
      <c r="P22" t="str">
        <f>IF(O22=0,Segmented!R344,IF(Segmented!R344="ResSPHtFAFZ1","R-All-HVAC-ER-All-All-E",IF(Segmented!R344="ResSpHtBBZ1","R-All-HVAC-Zonal-All-All-E","R-All-HVAC-ASHP-All-All-E")))</f>
        <v/>
      </c>
      <c r="Q22" t="s">
        <v>172</v>
      </c>
    </row>
    <row r="23" spans="1:38">
      <c r="A23" t="str">
        <f>CONCATENATE(Segmented!A345," ",Segmented!C345)</f>
        <v>Single Family Tier1_indor2_zonl</v>
      </c>
      <c r="B23" t="str">
        <f>Segmented!D345</f>
        <v>DHWkwh</v>
      </c>
      <c r="C23" s="41">
        <f>IF(Segmented!E345=0,0.00001,Segmented!E345)</f>
        <v>1262.8980680876891</v>
      </c>
      <c r="D23">
        <f>Segmented!F345</f>
        <v>13</v>
      </c>
      <c r="E23">
        <f>Segmented!G345</f>
        <v>724.58752370386082</v>
      </c>
      <c r="F23">
        <f>Segmented!H345</f>
        <v>0</v>
      </c>
      <c r="G23" t="str">
        <f>IF(Segmented!I345="ResDHW","R-All-WH-WHConvert-All-All-N",IF(Segmented!I345="ResSPHtFAFZ1","R-All-HVAC-ER-All-All-E",IF(Segmented!I345="ResSpHtBBZ1","R-All-HVAC-Zonal-All-All-E","R-All-HVAC-CAC-All-All-E")))</f>
        <v>R-All-WH-WHConvert-All-All-N</v>
      </c>
      <c r="H23">
        <f>Segmented!J345</f>
        <v>-3.095878355959842</v>
      </c>
      <c r="I23">
        <f>Segmented!K345</f>
        <v>0</v>
      </c>
      <c r="J23">
        <f>Segmented!L345</f>
        <v>0</v>
      </c>
      <c r="K23">
        <f>Segmented!M345</f>
        <v>0</v>
      </c>
      <c r="L23">
        <f>Segmented!N345</f>
        <v>0</v>
      </c>
      <c r="M23">
        <f>Segmented!O345</f>
        <v>0</v>
      </c>
      <c r="N23">
        <f>Segmented!P345</f>
        <v>0</v>
      </c>
      <c r="O23">
        <f>Segmented!Q345</f>
        <v>0</v>
      </c>
      <c r="P23" t="str">
        <f>IF(O23=0,Segmented!R345,IF(Segmented!R345="ResSPHtFAFZ1","R-All-HVAC-ER-All-All-E",IF(Segmented!R345="ResSpHtBBZ1","R-All-HVAC-Zonal-All-All-E","R-All-HVAC-ASHP-All-All-E")))</f>
        <v/>
      </c>
      <c r="Q23" t="s">
        <v>172</v>
      </c>
    </row>
    <row r="24" spans="1:38">
      <c r="A24" t="str">
        <f>CONCATENATE(Segmented!A346," ",Segmented!C346)</f>
        <v>Single Family Tier1_indor2_zonl</v>
      </c>
      <c r="B24" t="str">
        <f>Segmented!D346</f>
        <v>Heatkwh</v>
      </c>
      <c r="C24" s="41">
        <f>IF(Segmented!E346=0,0.00001,Segmented!E346)</f>
        <v>-306.17072788868097</v>
      </c>
      <c r="D24">
        <f>Segmented!F346</f>
        <v>13</v>
      </c>
      <c r="E24">
        <f>Segmented!G346</f>
        <v>0</v>
      </c>
      <c r="F24">
        <f>Segmented!H346</f>
        <v>0</v>
      </c>
      <c r="G24" t="str">
        <f>IF(Segmented!I346="ResDHW","R-All-WH-WHConvert-All-All-N",IF(Segmented!I346="ResSPHtFAFZ1","R-All-HVAC-ER-All-All-E",IF(Segmented!I346="ResSpHtBBZ1","R-All-HVAC-Zonal-All-All-E","R-All-HVAC-CAC-All-All-E")))</f>
        <v>R-All-HVAC-Zonal-All-All-E</v>
      </c>
      <c r="H24">
        <f>Segmented!J346</f>
        <v>-3.095878355959842</v>
      </c>
      <c r="I24">
        <f>Segmented!K346</f>
        <v>0</v>
      </c>
      <c r="J24">
        <f>Segmented!L346</f>
        <v>0</v>
      </c>
      <c r="K24">
        <f>Segmented!M346</f>
        <v>0</v>
      </c>
      <c r="L24">
        <f>Segmented!N346</f>
        <v>0</v>
      </c>
      <c r="M24">
        <f>Segmented!O346</f>
        <v>0</v>
      </c>
      <c r="N24">
        <f>Segmented!P346</f>
        <v>0</v>
      </c>
      <c r="O24">
        <f>Segmented!Q346</f>
        <v>-0.61395224043789309</v>
      </c>
      <c r="P24" t="str">
        <f>IF(O24=0,Segmented!R346,IF(Segmented!R346="ResSPHtFAFZ1","R-All-HVAC-ER-All-All-E",IF(Segmented!R346="ResSpHtBBZ1","R-All-HVAC-Zonal-All-All-E","R-All-HVAC-ASHP-All-All-E")))</f>
        <v>R-All-HVAC-Zonal-All-All-E</v>
      </c>
      <c r="Q24" t="s">
        <v>172</v>
      </c>
    </row>
    <row r="25" spans="1:38">
      <c r="A25" t="str">
        <f>CONCATENATE(Segmented!A347," ",Segmented!C347)</f>
        <v>Single Family Tier1_indor2_zonl</v>
      </c>
      <c r="B25" t="str">
        <f>Segmented!D347</f>
        <v>Coolkwh</v>
      </c>
      <c r="C25" s="41">
        <f>IF(Segmented!E347=0,0.00001,Segmented!E347)</f>
        <v>1.0000000000000001E-5</v>
      </c>
      <c r="D25">
        <f>Segmented!F347</f>
        <v>13</v>
      </c>
      <c r="E25">
        <f>Segmented!G347</f>
        <v>0</v>
      </c>
      <c r="F25">
        <f>Segmented!H347</f>
        <v>0</v>
      </c>
      <c r="G25" t="str">
        <f>IF(Segmented!I347="ResDHW","R-All-WH-WHConvert-All-All-N",IF(Segmented!I347="ResSPHtFAFZ1","R-All-HVAC-ER-All-All-E",IF(Segmented!I347="ResSpHtBBZ1","R-All-HVAC-Zonal-All-All-E","R-All-HVAC-CAC-All-All-E")))</f>
        <v>R-All-HVAC-CAC-All-All-E</v>
      </c>
      <c r="H25">
        <f>Segmented!J347</f>
        <v>-3.095878355959842</v>
      </c>
      <c r="I25">
        <f>Segmented!K347</f>
        <v>0</v>
      </c>
      <c r="J25">
        <f>Segmented!L347</f>
        <v>0</v>
      </c>
      <c r="K25">
        <f>Segmented!M347</f>
        <v>0</v>
      </c>
      <c r="L25">
        <f>Segmented!N347</f>
        <v>0</v>
      </c>
      <c r="M25">
        <f>Segmented!O347</f>
        <v>0</v>
      </c>
      <c r="N25">
        <f>Segmented!P347</f>
        <v>0</v>
      </c>
      <c r="O25">
        <f>Segmented!Q347</f>
        <v>0</v>
      </c>
      <c r="P25" t="str">
        <f>IF(O25=0,Segmented!R347,IF(Segmented!R347="ResSPHtFAFZ1","R-All-HVAC-ER-All-All-E",IF(Segmented!R347="ResSpHtBBZ1","R-All-HVAC-Zonal-All-All-E","R-All-HVAC-ASHP-All-All-E")))</f>
        <v/>
      </c>
      <c r="Q25" t="s">
        <v>172</v>
      </c>
    </row>
    <row r="26" spans="1:38">
      <c r="A26" t="str">
        <f>CONCATENATE(Segmented!A348," ",Segmented!C348)</f>
        <v>Single Family Tier2_buffered</v>
      </c>
      <c r="B26" t="str">
        <f>Segmented!D348</f>
        <v>DHWkwh</v>
      </c>
      <c r="C26" s="41">
        <f>IF(Segmented!E348=0,0.00001,Segmented!E348)</f>
        <v>189.91094169277483</v>
      </c>
      <c r="D26">
        <f>Segmented!F348</f>
        <v>13</v>
      </c>
      <c r="E26">
        <f>Segmented!G348</f>
        <v>1183.5005381933324</v>
      </c>
      <c r="F26">
        <f>Segmented!H348</f>
        <v>0</v>
      </c>
      <c r="G26" t="str">
        <f>IF(Segmented!I348="ResDHW","R-All-WH-WHConvert-All-All-N",IF(Segmented!I348="ResSPHtFAFZ1","R-All-HVAC-ER-All-All-E",IF(Segmented!I348="ResSpHtBBZ1","R-All-HVAC-Zonal-All-All-E","R-All-HVAC-CAC-All-All-E")))</f>
        <v>R-All-WH-WHConvert-All-All-N</v>
      </c>
      <c r="H26">
        <f>Segmented!J348</f>
        <v>0</v>
      </c>
      <c r="I26">
        <f>Segmented!K348</f>
        <v>0</v>
      </c>
      <c r="J26">
        <f>Segmented!L348</f>
        <v>0</v>
      </c>
      <c r="K26">
        <f>Segmented!M348</f>
        <v>0</v>
      </c>
      <c r="L26">
        <f>Segmented!N348</f>
        <v>0</v>
      </c>
      <c r="M26">
        <f>Segmented!O348</f>
        <v>0</v>
      </c>
      <c r="N26">
        <f>Segmented!P348</f>
        <v>0</v>
      </c>
      <c r="O26">
        <f>Segmented!Q348</f>
        <v>0</v>
      </c>
      <c r="P26" t="str">
        <f>IF(O26=0,Segmented!R348,IF(Segmented!R348="ResSPHtFAFZ1","R-All-HVAC-ER-All-All-E",IF(Segmented!R348="ResSpHtBBZ1","R-All-HVAC-Zonal-All-All-E","R-All-HVAC-ASHP-All-All-E")))</f>
        <v/>
      </c>
      <c r="Q26" t="s">
        <v>172</v>
      </c>
    </row>
    <row r="27" spans="1:38">
      <c r="A27" t="str">
        <f>CONCATENATE(Segmented!A349," ",Segmented!C349)</f>
        <v>Single Family Tier2_buffered</v>
      </c>
      <c r="B27" t="str">
        <f>Segmented!D349</f>
        <v>Heatkwh</v>
      </c>
      <c r="C27" s="41">
        <f>IF(Segmented!E349=0,0.00001,Segmented!E349)</f>
        <v>1.0000000000000001E-5</v>
      </c>
      <c r="D27">
        <f>Segmented!F349</f>
        <v>13</v>
      </c>
      <c r="E27">
        <f>Segmented!G349</f>
        <v>0</v>
      </c>
      <c r="F27">
        <f>Segmented!H349</f>
        <v>0</v>
      </c>
      <c r="G27" t="str">
        <f>IF(Segmented!I349="ResDHW","R-All-WH-WHConvert-All-All-N",IF(Segmented!I349="ResSPHtFAFZ1","R-All-HVAC-ER-All-All-E",IF(Segmented!I349="ResSpHtBBZ1","R-All-HVAC-Zonal-All-All-E","R-All-HVAC-CAC-All-All-E")))</f>
        <v>R-All-HVAC-Zonal-All-All-E</v>
      </c>
      <c r="H27">
        <f>Segmented!J349</f>
        <v>0</v>
      </c>
      <c r="I27">
        <f>Segmented!K349</f>
        <v>0</v>
      </c>
      <c r="J27">
        <f>Segmented!L349</f>
        <v>0</v>
      </c>
      <c r="K27">
        <f>Segmented!M349</f>
        <v>0</v>
      </c>
      <c r="L27">
        <f>Segmented!N349</f>
        <v>0</v>
      </c>
      <c r="M27">
        <f>Segmented!O349</f>
        <v>0</v>
      </c>
      <c r="N27">
        <f>Segmented!P349</f>
        <v>0</v>
      </c>
      <c r="O27">
        <f>Segmented!Q349</f>
        <v>0</v>
      </c>
      <c r="Q27" t="s">
        <v>172</v>
      </c>
    </row>
    <row r="28" spans="1:38">
      <c r="A28" t="str">
        <f>CONCATENATE(Segmented!A350," ",Segmented!C350)</f>
        <v>Single Family Tier2_buffered</v>
      </c>
      <c r="B28" t="str">
        <f>Segmented!D350</f>
        <v>Coolkwh</v>
      </c>
      <c r="C28" s="41">
        <f>IF(Segmented!E350=0,0.00001,Segmented!E350)</f>
        <v>1.0000000000000001E-5</v>
      </c>
      <c r="D28">
        <f>Segmented!F350</f>
        <v>13</v>
      </c>
      <c r="E28">
        <f>Segmented!G350</f>
        <v>0</v>
      </c>
      <c r="F28">
        <f>Segmented!H350</f>
        <v>0</v>
      </c>
      <c r="G28" t="str">
        <f>IF(Segmented!I350="ResDHW","R-All-WH-WHConvert-All-All-N",IF(Segmented!I350="ResSPHtFAFZ1","R-All-HVAC-ER-All-All-E",IF(Segmented!I350="ResSpHtBBZ1","R-All-HVAC-Zonal-All-All-E","R-All-HVAC-CAC-All-All-E")))</f>
        <v>R-All-HVAC-CAC-All-All-E</v>
      </c>
      <c r="H28">
        <f>Segmented!J350</f>
        <v>0</v>
      </c>
      <c r="I28">
        <f>Segmented!K350</f>
        <v>0</v>
      </c>
      <c r="J28">
        <f>Segmented!L350</f>
        <v>0</v>
      </c>
      <c r="K28">
        <f>Segmented!M350</f>
        <v>0</v>
      </c>
      <c r="L28">
        <f>Segmented!N350</f>
        <v>0</v>
      </c>
      <c r="M28">
        <f>Segmented!O350</f>
        <v>0</v>
      </c>
      <c r="N28">
        <f>Segmented!P350</f>
        <v>0</v>
      </c>
      <c r="O28">
        <f>Segmented!Q350</f>
        <v>0</v>
      </c>
      <c r="P28" t="str">
        <f>IF(O28=0,Segmented!R350,IF(Segmented!R350="ResSPHtFAFZ1","R-All-HVAC-ER-All-All-E",IF(Segmented!R350="ResSpHtBBZ1","R-All-HVAC-Zonal-All-All-E","R-All-HVAC-ASHP-All-All-E")))</f>
        <v/>
      </c>
      <c r="Q28" t="s">
        <v>172</v>
      </c>
      <c r="R28" s="35"/>
      <c r="S28" s="35"/>
      <c r="T28" s="35"/>
      <c r="U28" s="35"/>
      <c r="V28" s="35"/>
      <c r="W28" s="35"/>
      <c r="X28" s="35"/>
      <c r="Y28" s="35"/>
      <c r="Z28" s="35"/>
      <c r="AA28" s="35"/>
      <c r="AB28" s="35"/>
      <c r="AC28" s="35"/>
      <c r="AD28" s="35"/>
      <c r="AE28" s="35"/>
      <c r="AF28" s="35"/>
      <c r="AG28" s="35"/>
      <c r="AH28" s="35"/>
      <c r="AI28" s="35"/>
      <c r="AJ28" s="35"/>
      <c r="AK28" s="35"/>
      <c r="AL28" s="35"/>
    </row>
    <row r="29" spans="1:38">
      <c r="A29" t="str">
        <f>CONCATENATE(Segmented!A351," ",Segmented!C351)</f>
        <v>Single Family Tier2_indor2_gfnc</v>
      </c>
      <c r="B29" t="str">
        <f>Segmented!D351</f>
        <v>DHWkwh</v>
      </c>
      <c r="C29" s="41">
        <f>IF(Segmented!E351=0,0.00001,Segmented!E351)</f>
        <v>82.787030726763376</v>
      </c>
      <c r="D29">
        <f>Segmented!F351</f>
        <v>13</v>
      </c>
      <c r="E29">
        <f>Segmented!G351</f>
        <v>1183.5005381933324</v>
      </c>
      <c r="F29">
        <f>Segmented!H351</f>
        <v>0</v>
      </c>
      <c r="G29" t="str">
        <f>IF(Segmented!I351="ResDHW","R-All-WH-WHConvert-All-All-N",IF(Segmented!I351="ResSPHtFAFZ1","R-All-HVAC-ER-All-All-E",IF(Segmented!I351="ResSpHtBBZ1","R-All-HVAC-Zonal-All-All-E","R-All-HVAC-CAC-All-All-E")))</f>
        <v>R-All-WH-WHConvert-All-All-N</v>
      </c>
      <c r="H29">
        <f>Segmented!J351</f>
        <v>-0.85834873320788085</v>
      </c>
      <c r="I29">
        <f>Segmented!K351</f>
        <v>0</v>
      </c>
      <c r="J29">
        <f>Segmented!L351</f>
        <v>0</v>
      </c>
      <c r="K29">
        <f>Segmented!M351</f>
        <v>0</v>
      </c>
      <c r="L29">
        <f>Segmented!N351</f>
        <v>0</v>
      </c>
      <c r="M29">
        <f>Segmented!O351</f>
        <v>0</v>
      </c>
      <c r="N29">
        <f>Segmented!P351</f>
        <v>0</v>
      </c>
      <c r="O29">
        <f>Segmented!Q351</f>
        <v>0</v>
      </c>
      <c r="P29" t="str">
        <f>IF(O29=0,Segmented!R351,IF(Segmented!R351="ResSPHtFAFZ1","R-All-HVAC-ER-All-All-E",IF(Segmented!R351="ResSpHtBBZ1","R-All-HVAC-Zonal-All-All-E","R-All-HVAC-ASHP-All-All-E")))</f>
        <v/>
      </c>
      <c r="Q29" t="s">
        <v>172</v>
      </c>
      <c r="R29" s="35"/>
      <c r="S29" s="35"/>
      <c r="T29" s="35"/>
      <c r="U29" s="35"/>
      <c r="V29" s="35"/>
      <c r="W29" s="35"/>
      <c r="X29" s="35"/>
      <c r="Y29" s="35"/>
      <c r="Z29" s="35"/>
      <c r="AA29" s="35"/>
      <c r="AB29" s="35"/>
      <c r="AC29" s="35"/>
      <c r="AD29" s="35"/>
      <c r="AE29" s="35"/>
      <c r="AF29" s="35"/>
      <c r="AG29" s="35"/>
      <c r="AH29" s="35"/>
      <c r="AI29" s="35"/>
      <c r="AJ29" s="35"/>
      <c r="AK29" s="35"/>
      <c r="AL29" s="35"/>
    </row>
    <row r="30" spans="1:38">
      <c r="A30" t="str">
        <f>CONCATENATE(Segmented!A352," ",Segmented!C352)</f>
        <v>Single Family Tier2_indor2_gfnc</v>
      </c>
      <c r="B30" t="str">
        <f>Segmented!D352</f>
        <v>Heatkwh</v>
      </c>
      <c r="C30" s="41">
        <f>IF(Segmented!E352=0,0.00001,Segmented!E352)</f>
        <v>-2.2721962950514598</v>
      </c>
      <c r="D30">
        <f>Segmented!F352</f>
        <v>13</v>
      </c>
      <c r="E30">
        <f>Segmented!G352</f>
        <v>0</v>
      </c>
      <c r="F30">
        <f>Segmented!H352</f>
        <v>0</v>
      </c>
      <c r="G30" t="str">
        <f>IF(Segmented!I352="ResDHW","R-All-WH-WHConvert-All-All-N",IF(Segmented!I352="ResSPHtFAFZ1","R-All-HVAC-ER-All-All-E",IF(Segmented!I352="ResSpHtBBZ1","R-All-HVAC-Zonal-All-All-E","R-All-HVAC-CAC-All-All-E")))</f>
        <v>R-All-HVAC-ER-All-All-E</v>
      </c>
      <c r="H30">
        <f>Segmented!J352</f>
        <v>-0.85834873320788085</v>
      </c>
      <c r="I30">
        <f>Segmented!K352</f>
        <v>0</v>
      </c>
      <c r="J30">
        <f>Segmented!L352</f>
        <v>0</v>
      </c>
      <c r="K30">
        <f>Segmented!M352</f>
        <v>0</v>
      </c>
      <c r="L30">
        <f>Segmented!N352</f>
        <v>0</v>
      </c>
      <c r="M30">
        <f>Segmented!O352</f>
        <v>0</v>
      </c>
      <c r="N30">
        <f>Segmented!P352</f>
        <v>0</v>
      </c>
      <c r="O30">
        <f>Segmented!Q352</f>
        <v>-3.3258467421661342</v>
      </c>
      <c r="P30" t="str">
        <f>IF(O30=0,Segmented!R352,IF(Segmented!R352="ResSPHtFAFZ1","R-All-HVAC-ER-All-All-E",IF(Segmented!R352="ResSpHtBBZ1","R-All-HVAC-Zonal-All-All-E","R-All-HVAC-ASHP-All-All-E")))</f>
        <v>R-All-HVAC-ER-All-All-E</v>
      </c>
      <c r="Q30" t="s">
        <v>172</v>
      </c>
      <c r="R30" s="35"/>
      <c r="S30" s="35"/>
      <c r="T30" s="35"/>
      <c r="U30" s="35"/>
      <c r="V30" s="35"/>
      <c r="W30" s="35"/>
      <c r="X30" s="35"/>
      <c r="Y30" s="35"/>
      <c r="Z30" s="35"/>
      <c r="AA30" s="35"/>
      <c r="AB30" s="35"/>
      <c r="AC30" s="35"/>
      <c r="AD30" s="35"/>
      <c r="AE30" s="35"/>
      <c r="AF30" s="35"/>
      <c r="AG30" s="35"/>
      <c r="AH30" s="35"/>
      <c r="AI30" s="35"/>
      <c r="AJ30" s="35"/>
      <c r="AK30" s="35"/>
      <c r="AL30" s="35"/>
    </row>
    <row r="31" spans="1:38">
      <c r="A31" t="str">
        <f>CONCATENATE(Segmented!A353," ",Segmented!C353)</f>
        <v>Single Family Tier2_indor2_gfnc</v>
      </c>
      <c r="B31" t="str">
        <f>Segmented!D353</f>
        <v>Coolkwh</v>
      </c>
      <c r="C31" s="41">
        <f>IF(Segmented!E353=0,0.00001,Segmented!E353)</f>
        <v>1.0000000000000001E-5</v>
      </c>
      <c r="D31">
        <f>Segmented!F353</f>
        <v>13</v>
      </c>
      <c r="E31">
        <f>Segmented!G353</f>
        <v>0</v>
      </c>
      <c r="F31">
        <f>Segmented!H353</f>
        <v>0</v>
      </c>
      <c r="G31" t="str">
        <f>IF(Segmented!I353="ResDHW","R-All-WH-WHConvert-All-All-N",IF(Segmented!I353="ResSPHtFAFZ1","R-All-HVAC-ER-All-All-E",IF(Segmented!I353="ResSpHtBBZ1","R-All-HVAC-Zonal-All-All-E","R-All-HVAC-CAC-All-All-E")))</f>
        <v>R-All-HVAC-CAC-All-All-E</v>
      </c>
      <c r="H31">
        <f>Segmented!J353</f>
        <v>-0.85834873320788085</v>
      </c>
      <c r="I31">
        <f>Segmented!K353</f>
        <v>0</v>
      </c>
      <c r="J31">
        <f>Segmented!L353</f>
        <v>0</v>
      </c>
      <c r="K31">
        <f>Segmented!M353</f>
        <v>0</v>
      </c>
      <c r="L31">
        <f>Segmented!N353</f>
        <v>0</v>
      </c>
      <c r="M31">
        <f>Segmented!O353</f>
        <v>0</v>
      </c>
      <c r="N31">
        <f>Segmented!P353</f>
        <v>0</v>
      </c>
      <c r="O31">
        <f>Segmented!Q353</f>
        <v>0</v>
      </c>
      <c r="P31" t="str">
        <f>IF(O31=0,Segmented!R353,IF(Segmented!R353="ResSPHtFAFZ1","R-All-HVAC-ER-All-All-E",IF(Segmented!R353="ResSpHtBBZ1","R-All-HVAC-Zonal-All-All-E","R-All-HVAC-ASHP-All-All-E")))</f>
        <v/>
      </c>
      <c r="Q31" t="s">
        <v>172</v>
      </c>
      <c r="R31" s="35"/>
      <c r="S31" s="35"/>
      <c r="T31" s="35"/>
      <c r="U31" s="35"/>
      <c r="V31" s="35"/>
      <c r="W31" s="35"/>
      <c r="X31" s="35"/>
      <c r="Y31" s="35"/>
      <c r="Z31" s="35"/>
      <c r="AA31" s="35"/>
      <c r="AB31" s="35"/>
      <c r="AC31" s="35"/>
      <c r="AD31" s="35"/>
      <c r="AE31" s="35"/>
      <c r="AF31" s="35"/>
      <c r="AG31" s="35"/>
      <c r="AH31" s="35"/>
      <c r="AI31" s="35"/>
      <c r="AJ31" s="35"/>
      <c r="AK31" s="35"/>
      <c r="AL31" s="35"/>
    </row>
    <row r="32" spans="1:38">
      <c r="A32" t="str">
        <f>CONCATENATE(Segmented!A354," ",Segmented!C354)</f>
        <v>Single Family Tier2_indor2_gfac</v>
      </c>
      <c r="B32" t="str">
        <f>Segmented!D354</f>
        <v>DHWkwh</v>
      </c>
      <c r="C32" s="41">
        <f>IF(Segmented!E354=0,0.00001,Segmented!E354)</f>
        <v>88.055013154781591</v>
      </c>
      <c r="D32">
        <f>Segmented!F354</f>
        <v>13</v>
      </c>
      <c r="E32">
        <f>Segmented!G354</f>
        <v>1183.5005381933324</v>
      </c>
      <c r="F32">
        <f>Segmented!H354</f>
        <v>0</v>
      </c>
      <c r="G32" t="str">
        <f>IF(Segmented!I354="ResDHW","R-All-WH-WHConvert-All-All-N",IF(Segmented!I354="ResSPHtFAFZ1","R-All-HVAC-ER-All-All-E",IF(Segmented!I354="ResSpHtBBZ1","R-All-HVAC-Zonal-All-All-E","R-All-HVAC-CAC-All-All-E")))</f>
        <v>R-All-WH-WHConvert-All-All-N</v>
      </c>
      <c r="H32">
        <f>Segmented!J354</f>
        <v>-0.87290339744287193</v>
      </c>
      <c r="I32">
        <f>Segmented!K354</f>
        <v>0</v>
      </c>
      <c r="J32">
        <f>Segmented!L354</f>
        <v>0</v>
      </c>
      <c r="K32">
        <f>Segmented!M354</f>
        <v>0</v>
      </c>
      <c r="L32">
        <f>Segmented!N354</f>
        <v>0</v>
      </c>
      <c r="M32">
        <f>Segmented!O354</f>
        <v>0</v>
      </c>
      <c r="N32">
        <f>Segmented!P354</f>
        <v>0</v>
      </c>
      <c r="O32">
        <f>Segmented!Q354</f>
        <v>0</v>
      </c>
      <c r="P32" t="str">
        <f>IF(O32=0,Segmented!R354,IF(Segmented!R354="ResSPHtFAFZ1","R-All-HVAC-ER-All-All-E",IF(Segmented!R354="ResSpHtBBZ1","R-All-HVAC-Zonal-All-All-E","R-All-HVAC-ASHP-All-All-E")))</f>
        <v/>
      </c>
      <c r="Q32" t="s">
        <v>172</v>
      </c>
    </row>
    <row r="33" spans="1:17">
      <c r="A33" t="str">
        <f>CONCATENATE(Segmented!A355," ",Segmented!C355)</f>
        <v>Single Family Tier2_indor2_gfac</v>
      </c>
      <c r="B33" t="str">
        <f>Segmented!D355</f>
        <v>Heatkwh</v>
      </c>
      <c r="C33" s="41">
        <f>IF(Segmented!E355=0,0.00001,Segmented!E355)</f>
        <v>-2.494122084514057</v>
      </c>
      <c r="D33">
        <f>Segmented!F355</f>
        <v>13</v>
      </c>
      <c r="E33">
        <f>Segmented!G355</f>
        <v>0</v>
      </c>
      <c r="F33">
        <f>Segmented!H355</f>
        <v>0</v>
      </c>
      <c r="G33" t="str">
        <f>IF(Segmented!I355="ResDHW","R-All-WH-WHConvert-All-All-N",IF(Segmented!I355="ResSPHtFAFZ1","R-All-HVAC-ER-All-All-E",IF(Segmented!I355="ResSpHtBBZ1","R-All-HVAC-Zonal-All-All-E","R-All-HVAC-CAC-All-All-E")))</f>
        <v>R-All-HVAC-ER-All-All-E</v>
      </c>
      <c r="H33">
        <f>Segmented!J355</f>
        <v>-0.87290339744287193</v>
      </c>
      <c r="I33">
        <f>Segmented!K355</f>
        <v>0</v>
      </c>
      <c r="J33">
        <f>Segmented!L355</f>
        <v>0</v>
      </c>
      <c r="K33">
        <f>Segmented!M355</f>
        <v>0</v>
      </c>
      <c r="L33">
        <f>Segmented!N355</f>
        <v>0</v>
      </c>
      <c r="M33">
        <f>Segmented!O355</f>
        <v>0</v>
      </c>
      <c r="N33">
        <f>Segmented!P355</f>
        <v>0</v>
      </c>
      <c r="O33">
        <f>Segmented!Q355</f>
        <v>-3.3750130534524367</v>
      </c>
      <c r="P33" t="str">
        <f>IF(O33=0,Segmented!R355,IF(Segmented!R355="ResSPHtFAFZ1","R-All-HVAC-ER-All-All-E",IF(Segmented!R355="ResSpHtBBZ1","R-All-HVAC-Zonal-All-All-E","R-All-HVAC-ASHP-All-All-E")))</f>
        <v>R-All-HVAC-ER-All-All-E</v>
      </c>
      <c r="Q33" t="s">
        <v>172</v>
      </c>
    </row>
    <row r="34" spans="1:17">
      <c r="A34" t="str">
        <f>CONCATENATE(Segmented!A356," ",Segmented!C356)</f>
        <v>Single Family Tier2_indor2_gfac</v>
      </c>
      <c r="B34" t="str">
        <f>Segmented!D356</f>
        <v>Coolkwh</v>
      </c>
      <c r="C34" s="41">
        <f>IF(Segmented!E356=0,0.00001,Segmented!E356)</f>
        <v>-4.7969612522366845</v>
      </c>
      <c r="D34">
        <f>Segmented!F356</f>
        <v>13</v>
      </c>
      <c r="E34">
        <f>Segmented!G356</f>
        <v>0</v>
      </c>
      <c r="F34">
        <f>Segmented!H356</f>
        <v>0</v>
      </c>
      <c r="G34" t="str">
        <f>IF(Segmented!I356="ResDHW","R-All-WH-WHConvert-All-All-N",IF(Segmented!I356="ResSPHtFAFZ1","R-All-HVAC-ER-All-All-E",IF(Segmented!I356="ResSpHtBBZ1","R-All-HVAC-Zonal-All-All-E","R-All-HVAC-CAC-All-All-E")))</f>
        <v>R-All-HVAC-CAC-All-All-E</v>
      </c>
      <c r="H34">
        <f>Segmented!J356</f>
        <v>-0.87290339744287193</v>
      </c>
      <c r="I34">
        <f>Segmented!K356</f>
        <v>0</v>
      </c>
      <c r="J34">
        <f>Segmented!L356</f>
        <v>0</v>
      </c>
      <c r="K34">
        <f>Segmented!M356</f>
        <v>0</v>
      </c>
      <c r="L34">
        <f>Segmented!N356</f>
        <v>0</v>
      </c>
      <c r="M34">
        <f>Segmented!O356</f>
        <v>0</v>
      </c>
      <c r="N34">
        <f>Segmented!P356</f>
        <v>0</v>
      </c>
      <c r="O34">
        <f>Segmented!Q356</f>
        <v>0</v>
      </c>
      <c r="P34" t="str">
        <f>IF(O34=0,Segmented!R356,IF(Segmented!R356="ResSPHtFAFZ1","R-All-HVAC-ER-All-All-E",IF(Segmented!R356="ResSpHtBBZ1","R-All-HVAC-Zonal-All-All-E","R-All-HVAC-ASHP-All-All-E")))</f>
        <v/>
      </c>
      <c r="Q34" t="s">
        <v>172</v>
      </c>
    </row>
    <row r="35" spans="1:17">
      <c r="A35" t="str">
        <f>CONCATENATE(Segmented!A357," ",Segmented!C357)</f>
        <v>Single Family Tier2_indor2_efaf</v>
      </c>
      <c r="B35" t="str">
        <f>Segmented!D357</f>
        <v>DHWkwh</v>
      </c>
      <c r="C35" s="41">
        <f>IF(Segmented!E357=0,0.00001,Segmented!E357)</f>
        <v>82.787030726763376</v>
      </c>
      <c r="D35">
        <f>Segmented!F357</f>
        <v>13</v>
      </c>
      <c r="E35">
        <f>Segmented!G357</f>
        <v>1183.5005381933324</v>
      </c>
      <c r="F35">
        <f>Segmented!H357</f>
        <v>0</v>
      </c>
      <c r="G35" t="str">
        <f>IF(Segmented!I357="ResDHW","R-All-WH-WHConvert-All-All-N",IF(Segmented!I357="ResSPHtFAFZ1","R-All-HVAC-ER-All-All-E",IF(Segmented!I357="ResSpHtBBZ1","R-All-HVAC-Zonal-All-All-E","R-All-HVAC-CAC-All-All-E")))</f>
        <v>R-All-WH-WHConvert-All-All-N</v>
      </c>
      <c r="H35">
        <f>Segmented!J357</f>
        <v>-0.60507874701643671</v>
      </c>
      <c r="I35">
        <f>Segmented!K357</f>
        <v>0</v>
      </c>
      <c r="J35">
        <f>Segmented!L357</f>
        <v>0</v>
      </c>
      <c r="K35">
        <f>Segmented!M357</f>
        <v>0</v>
      </c>
      <c r="L35">
        <f>Segmented!N357</f>
        <v>0</v>
      </c>
      <c r="M35">
        <f>Segmented!O357</f>
        <v>0</v>
      </c>
      <c r="N35">
        <f>Segmented!P357</f>
        <v>0</v>
      </c>
      <c r="O35">
        <f>Segmented!Q357</f>
        <v>0</v>
      </c>
      <c r="P35" t="str">
        <f>IF(O35=0,Segmented!R357,IF(Segmented!R357="ResSPHtFAFZ1","R-All-HVAC-ER-All-All-E",IF(Segmented!R357="ResSpHtBBZ1","R-All-HVAC-Zonal-All-All-E","R-All-HVAC-ASHP-All-All-E")))</f>
        <v/>
      </c>
      <c r="Q35" t="s">
        <v>172</v>
      </c>
    </row>
    <row r="36" spans="1:17">
      <c r="A36" t="str">
        <f>CONCATENATE(Segmented!A358," ",Segmented!C358)</f>
        <v>Single Family Tier2_indor2_efaf</v>
      </c>
      <c r="B36" t="str">
        <f>Segmented!D358</f>
        <v>Heatkwh</v>
      </c>
      <c r="C36" s="41">
        <f>IF(Segmented!E358=0,0.00001,Segmented!E358)</f>
        <v>-59.842825091439764</v>
      </c>
      <c r="D36">
        <f>Segmented!F358</f>
        <v>13</v>
      </c>
      <c r="E36">
        <f>Segmented!G358</f>
        <v>0</v>
      </c>
      <c r="F36">
        <f>Segmented!H358</f>
        <v>0</v>
      </c>
      <c r="G36" t="str">
        <f>IF(Segmented!I358="ResDHW","R-All-WH-WHConvert-All-All-N",IF(Segmented!I358="ResSPHtFAFZ1","R-All-HVAC-ER-All-All-E",IF(Segmented!I358="ResSpHtBBZ1","R-All-HVAC-Zonal-All-All-E","R-All-HVAC-CAC-All-All-E")))</f>
        <v>R-All-HVAC-ER-All-All-E</v>
      </c>
      <c r="H36">
        <f>Segmented!J358</f>
        <v>-0.60507874701643671</v>
      </c>
      <c r="I36">
        <f>Segmented!K358</f>
        <v>0</v>
      </c>
      <c r="J36">
        <f>Segmented!L358</f>
        <v>0</v>
      </c>
      <c r="K36">
        <f>Segmented!M358</f>
        <v>0</v>
      </c>
      <c r="L36">
        <f>Segmented!N358</f>
        <v>0</v>
      </c>
      <c r="M36">
        <f>Segmented!O358</f>
        <v>0</v>
      </c>
      <c r="N36">
        <f>Segmented!P358</f>
        <v>0</v>
      </c>
      <c r="O36">
        <f>Segmented!Q358</f>
        <v>-0.11974287287715706</v>
      </c>
      <c r="P36" t="str">
        <f>IF(O36=0,Segmented!R358,IF(Segmented!R358="ResSPHtFAFZ1","R-All-HVAC-ER-All-All-E",IF(Segmented!R358="ResSpHtBBZ1","R-All-HVAC-Zonal-All-All-E","R-All-HVAC-ASHP-All-All-E")))</f>
        <v>R-All-HVAC-ER-All-All-E</v>
      </c>
      <c r="Q36" t="s">
        <v>172</v>
      </c>
    </row>
    <row r="37" spans="1:17">
      <c r="A37" t="str">
        <f>CONCATENATE(Segmented!A359," ",Segmented!C359)</f>
        <v>Single Family Tier2_indor2_efaf</v>
      </c>
      <c r="B37" t="str">
        <f>Segmented!D359</f>
        <v>Coolkwh</v>
      </c>
      <c r="C37" s="41">
        <f>IF(Segmented!E359=0,0.00001,Segmented!E359)</f>
        <v>1.0000000000000001E-5</v>
      </c>
      <c r="D37">
        <f>Segmented!F359</f>
        <v>13</v>
      </c>
      <c r="E37">
        <f>Segmented!G359</f>
        <v>0</v>
      </c>
      <c r="F37">
        <f>Segmented!H359</f>
        <v>0</v>
      </c>
      <c r="G37" t="str">
        <f>IF(Segmented!I359="ResDHW","R-All-WH-WHConvert-All-All-N",IF(Segmented!I359="ResSPHtFAFZ1","R-All-HVAC-ER-All-All-E",IF(Segmented!I359="ResSpHtBBZ1","R-All-HVAC-Zonal-All-All-E","R-All-HVAC-CAC-All-All-E")))</f>
        <v>R-All-HVAC-CAC-All-All-E</v>
      </c>
      <c r="H37">
        <f>Segmented!J359</f>
        <v>-0.60507874701643671</v>
      </c>
      <c r="I37">
        <f>Segmented!K359</f>
        <v>0</v>
      </c>
      <c r="J37">
        <f>Segmented!L359</f>
        <v>0</v>
      </c>
      <c r="K37">
        <f>Segmented!M359</f>
        <v>0</v>
      </c>
      <c r="L37">
        <f>Segmented!N359</f>
        <v>0</v>
      </c>
      <c r="M37">
        <f>Segmented!O359</f>
        <v>0</v>
      </c>
      <c r="N37">
        <f>Segmented!P359</f>
        <v>0</v>
      </c>
      <c r="O37">
        <f>Segmented!Q359</f>
        <v>0</v>
      </c>
      <c r="P37" t="str">
        <f>IF(O37=0,Segmented!R359,IF(Segmented!R359="ResSPHtFAFZ1","R-All-HVAC-ER-All-All-E",IF(Segmented!R359="ResSpHtBBZ1","R-All-HVAC-Zonal-All-All-E","R-All-HVAC-ASHP-All-All-E")))</f>
        <v/>
      </c>
      <c r="Q37" t="s">
        <v>172</v>
      </c>
    </row>
    <row r="38" spans="1:17">
      <c r="A38" t="str">
        <f>CONCATENATE(Segmented!A360," ",Segmented!C360)</f>
        <v>Single Family Tier2_indor2_hp85</v>
      </c>
      <c r="B38" t="str">
        <f>Segmented!D360</f>
        <v>DHWkwh</v>
      </c>
      <c r="C38" s="41">
        <f>IF(Segmented!E360=0,0.00001,Segmented!E360)</f>
        <v>88.060231678776773</v>
      </c>
      <c r="D38">
        <f>Segmented!F360</f>
        <v>13</v>
      </c>
      <c r="E38">
        <f>Segmented!G360</f>
        <v>1183.5005381933324</v>
      </c>
      <c r="F38">
        <f>Segmented!H360</f>
        <v>0</v>
      </c>
      <c r="G38" t="str">
        <f>IF(Segmented!I360="ResDHW","R-All-WH-WHConvert-All-All-N",IF(Segmented!I360="ResSPHtFAFZ1","R-All-HVAC-ER-All-All-E",IF(Segmented!I360="ResSpHtBBZ1","R-All-HVAC-Zonal-All-All-E","R-All-HVAC-CAC-All-All-E")))</f>
        <v>R-All-WH-WHConvert-All-All-N</v>
      </c>
      <c r="H38">
        <f>Segmented!J360</f>
        <v>-0.37094334468082091</v>
      </c>
      <c r="I38">
        <f>Segmented!K360</f>
        <v>0</v>
      </c>
      <c r="J38">
        <f>Segmented!L360</f>
        <v>0</v>
      </c>
      <c r="K38">
        <f>Segmented!M360</f>
        <v>0</v>
      </c>
      <c r="L38">
        <f>Segmented!N360</f>
        <v>0</v>
      </c>
      <c r="M38">
        <f>Segmented!O360</f>
        <v>0</v>
      </c>
      <c r="N38">
        <f>Segmented!P360</f>
        <v>0</v>
      </c>
      <c r="O38">
        <f>Segmented!Q360</f>
        <v>0</v>
      </c>
      <c r="P38" t="str">
        <f>IF(O38=0,Segmented!R360,IF(Segmented!R360="ResSPHtFAFZ1","R-All-HVAC-ER-All-All-E",IF(Segmented!R360="ResSpHtBBZ1","R-All-HVAC-Zonal-All-All-E","R-All-HVAC-ASHP-All-All-E")))</f>
        <v/>
      </c>
      <c r="Q38" t="s">
        <v>172</v>
      </c>
    </row>
    <row r="39" spans="1:17">
      <c r="A39" t="str">
        <f>CONCATENATE(Segmented!A361," ",Segmented!C361)</f>
        <v>Single Family Tier2_indor2_hp85</v>
      </c>
      <c r="B39" t="str">
        <f>Segmented!D361</f>
        <v>Heatkwh</v>
      </c>
      <c r="C39" s="41">
        <f>IF(Segmented!E361=0,0.00001,Segmented!E361)</f>
        <v>-36.730358594795504</v>
      </c>
      <c r="D39">
        <f>Segmented!F361</f>
        <v>13</v>
      </c>
      <c r="E39">
        <f>Segmented!G361</f>
        <v>0</v>
      </c>
      <c r="F39">
        <f>Segmented!H361</f>
        <v>0</v>
      </c>
      <c r="G39" t="str">
        <f>IF(Segmented!I361="ResDHW","R-All-WH-WHConvert-All-All-N",IF(Segmented!I361="ResSPHtFAFZ1","R-All-HVAC-ER-All-All-E",IF(Segmented!I361="ResSpHtBBZ1","R-All-HVAC-Zonal-All-All-E","R-All-HVAC-CAC-All-All-E")))</f>
        <v>R-All-HVAC-CAC-All-All-E</v>
      </c>
      <c r="H39">
        <f>Segmented!J361</f>
        <v>-0.37094334468082091</v>
      </c>
      <c r="I39">
        <f>Segmented!K361</f>
        <v>0</v>
      </c>
      <c r="J39">
        <f>Segmented!L361</f>
        <v>0</v>
      </c>
      <c r="K39">
        <f>Segmented!M361</f>
        <v>0</v>
      </c>
      <c r="L39">
        <f>Segmented!N361</f>
        <v>0</v>
      </c>
      <c r="M39">
        <f>Segmented!O361</f>
        <v>0</v>
      </c>
      <c r="N39">
        <f>Segmented!P361</f>
        <v>0</v>
      </c>
      <c r="O39">
        <f>Segmented!Q361</f>
        <v>-6.9490010107839964E-2</v>
      </c>
      <c r="P39" t="str">
        <f>IF(O39=0,Segmented!R361,IF(Segmented!R361="ResSPHtFAFZ1","R-All-HVAC-ER-All-All-E",IF(Segmented!R361="ResSpHtBBZ1","R-All-HVAC-Zonal-All-All-E","R-All-HVAC-ASHP-All-All-E")))</f>
        <v>R-All-HVAC-ASHP-All-All-E</v>
      </c>
      <c r="Q39" t="s">
        <v>172</v>
      </c>
    </row>
    <row r="40" spans="1:17">
      <c r="A40" t="str">
        <f>CONCATENATE(Segmented!A362," ",Segmented!C362)</f>
        <v>Single Family Tier2_indor2_hp85</v>
      </c>
      <c r="B40" t="str">
        <f>Segmented!D362</f>
        <v>Coolkwh</v>
      </c>
      <c r="C40" s="41">
        <f>IF(Segmented!E362=0,0.00001,Segmented!E362)</f>
        <v>-4.8043358751706648</v>
      </c>
      <c r="D40">
        <f>Segmented!F362</f>
        <v>13</v>
      </c>
      <c r="E40">
        <f>Segmented!G362</f>
        <v>0</v>
      </c>
      <c r="F40">
        <f>Segmented!H362</f>
        <v>0</v>
      </c>
      <c r="G40" t="str">
        <f>IF(Segmented!I362="ResDHW","R-All-WH-WHConvert-All-All-N",IF(Segmented!I362="ResSPHtFAFZ1","R-All-HVAC-ER-All-All-E",IF(Segmented!I362="ResSpHtBBZ1","R-All-HVAC-Zonal-All-All-E","R-All-HVAC-CAC-All-All-E")))</f>
        <v>R-All-HVAC-CAC-All-All-E</v>
      </c>
      <c r="H40">
        <f>Segmented!J362</f>
        <v>-0.37094334468082091</v>
      </c>
      <c r="I40">
        <f>Segmented!K362</f>
        <v>0</v>
      </c>
      <c r="J40">
        <f>Segmented!L362</f>
        <v>0</v>
      </c>
      <c r="K40">
        <f>Segmented!M362</f>
        <v>0</v>
      </c>
      <c r="L40">
        <f>Segmented!N362</f>
        <v>0</v>
      </c>
      <c r="M40">
        <f>Segmented!O362</f>
        <v>0</v>
      </c>
      <c r="N40">
        <f>Segmented!P362</f>
        <v>0</v>
      </c>
      <c r="O40">
        <f>Segmented!Q362</f>
        <v>0</v>
      </c>
      <c r="P40" t="str">
        <f>IF(O40=0,Segmented!R362,IF(Segmented!R362="ResSPHtFAFZ1","R-All-HVAC-ER-All-All-E",IF(Segmented!R362="ResSpHtBBZ1","R-All-HVAC-Zonal-All-All-E","R-All-HVAC-ASHP-All-All-E")))</f>
        <v/>
      </c>
      <c r="Q40" t="s">
        <v>172</v>
      </c>
    </row>
    <row r="41" spans="1:17">
      <c r="A41" t="str">
        <f>CONCATENATE(Segmented!A363," ",Segmented!C363)</f>
        <v>Single Family Tier2_indor2_zonl</v>
      </c>
      <c r="B41" t="str">
        <f>Segmented!D363</f>
        <v>DHWkwh</v>
      </c>
      <c r="C41" s="41">
        <f>IF(Segmented!E363=0,0.00001,Segmented!E363)</f>
        <v>82.759162084041577</v>
      </c>
      <c r="D41">
        <f>Segmented!F363</f>
        <v>13</v>
      </c>
      <c r="E41">
        <f>Segmented!G363</f>
        <v>1183.5005381933324</v>
      </c>
      <c r="F41">
        <f>Segmented!H363</f>
        <v>0</v>
      </c>
      <c r="G41" t="str">
        <f>IF(Segmented!I363="ResDHW","R-All-WH-WHConvert-All-All-N",IF(Segmented!I363="ResSPHtFAFZ1","R-All-HVAC-ER-All-All-E",IF(Segmented!I363="ResSpHtBBZ1","R-All-HVAC-Zonal-All-All-E","R-All-HVAC-CAC-All-All-E")))</f>
        <v>R-All-WH-WHConvert-All-All-N</v>
      </c>
      <c r="H41">
        <f>Segmented!J363</f>
        <v>-0.53678994236920285</v>
      </c>
      <c r="I41">
        <f>Segmented!K363</f>
        <v>0</v>
      </c>
      <c r="J41">
        <f>Segmented!L363</f>
        <v>0</v>
      </c>
      <c r="K41">
        <f>Segmented!M363</f>
        <v>0</v>
      </c>
      <c r="L41">
        <f>Segmented!N363</f>
        <v>0</v>
      </c>
      <c r="M41">
        <f>Segmented!O363</f>
        <v>0</v>
      </c>
      <c r="N41">
        <f>Segmented!P363</f>
        <v>0</v>
      </c>
      <c r="O41">
        <f>Segmented!Q363</f>
        <v>0</v>
      </c>
      <c r="P41" t="str">
        <f>IF(O41=0,Segmented!R363,IF(Segmented!R363="ResSPHtFAFZ1","R-All-HVAC-ER-All-All-E",IF(Segmented!R363="ResSpHtBBZ1","R-All-HVAC-Zonal-All-All-E","R-All-HVAC-ASHP-All-All-E")))</f>
        <v/>
      </c>
      <c r="Q41" t="s">
        <v>172</v>
      </c>
    </row>
    <row r="42" spans="1:17">
      <c r="A42" t="str">
        <f>CONCATENATE(Segmented!A364," ",Segmented!C364)</f>
        <v>Single Family Tier2_indor2_zonl</v>
      </c>
      <c r="B42" t="str">
        <f>Segmented!D364</f>
        <v>Heatkwh</v>
      </c>
      <c r="C42" s="41">
        <f>IF(Segmented!E364=0,0.00001,Segmented!E364)</f>
        <v>-53.088317947567184</v>
      </c>
      <c r="D42">
        <f>Segmented!F364</f>
        <v>13</v>
      </c>
      <c r="E42">
        <f>Segmented!G364</f>
        <v>0</v>
      </c>
      <c r="F42">
        <f>Segmented!H364</f>
        <v>0</v>
      </c>
      <c r="G42" t="str">
        <f>IF(Segmented!I364="ResDHW","R-All-WH-WHConvert-All-All-N",IF(Segmented!I364="ResSPHtFAFZ1","R-All-HVAC-ER-All-All-E",IF(Segmented!I364="ResSpHtBBZ1","R-All-HVAC-Zonal-All-All-E","R-All-HVAC-CAC-All-All-E")))</f>
        <v>R-All-HVAC-Zonal-All-All-E</v>
      </c>
      <c r="H42">
        <f>Segmented!J364</f>
        <v>-0.53678994236920285</v>
      </c>
      <c r="I42">
        <f>Segmented!K364</f>
        <v>0</v>
      </c>
      <c r="J42">
        <f>Segmented!L364</f>
        <v>0</v>
      </c>
      <c r="K42">
        <f>Segmented!M364</f>
        <v>0</v>
      </c>
      <c r="L42">
        <f>Segmented!N364</f>
        <v>0</v>
      </c>
      <c r="M42">
        <f>Segmented!O364</f>
        <v>0</v>
      </c>
      <c r="N42">
        <f>Segmented!P364</f>
        <v>0</v>
      </c>
      <c r="O42">
        <f>Segmented!Q364</f>
        <v>-0.10629003081412733</v>
      </c>
      <c r="P42" t="str">
        <f>IF(O42=0,Segmented!R364,IF(Segmented!R364="ResSPHtFAFZ1","R-All-HVAC-ER-All-All-E",IF(Segmented!R364="ResSpHtBBZ1","R-All-HVAC-Zonal-All-All-E","R-All-HVAC-ASHP-All-All-E")))</f>
        <v>R-All-HVAC-Zonal-All-All-E</v>
      </c>
      <c r="Q42" t="s">
        <v>172</v>
      </c>
    </row>
    <row r="43" spans="1:17">
      <c r="A43" t="str">
        <f>CONCATENATE(Segmented!A365," ",Segmented!C365)</f>
        <v>Single Family Tier2_indor2_zonl</v>
      </c>
      <c r="B43" t="str">
        <f>Segmented!D365</f>
        <v>Coolkwh</v>
      </c>
      <c r="C43" s="41">
        <f>IF(Segmented!E365=0,0.00001,Segmented!E365)</f>
        <v>1.0000000000000001E-5</v>
      </c>
      <c r="D43">
        <f>Segmented!F365</f>
        <v>13</v>
      </c>
      <c r="E43">
        <f>Segmented!G365</f>
        <v>0</v>
      </c>
      <c r="F43">
        <f>Segmented!H365</f>
        <v>0</v>
      </c>
      <c r="G43" t="str">
        <f>IF(Segmented!I365="ResDHW","R-All-WH-WHConvert-All-All-N",IF(Segmented!I365="ResSPHtFAFZ1","R-All-HVAC-ER-All-All-E",IF(Segmented!I365="ResSpHtBBZ1","R-All-HVAC-Zonal-All-All-E","R-All-HVAC-CAC-All-All-E")))</f>
        <v>R-All-HVAC-CAC-All-All-E</v>
      </c>
      <c r="H43">
        <f>Segmented!J365</f>
        <v>-0.53678994236920285</v>
      </c>
      <c r="I43">
        <f>Segmented!K365</f>
        <v>0</v>
      </c>
      <c r="J43">
        <f>Segmented!L365</f>
        <v>0</v>
      </c>
      <c r="K43">
        <f>Segmented!M365</f>
        <v>0</v>
      </c>
      <c r="L43">
        <f>Segmented!N365</f>
        <v>0</v>
      </c>
      <c r="M43">
        <f>Segmented!O365</f>
        <v>0</v>
      </c>
      <c r="N43">
        <f>Segmented!P365</f>
        <v>0</v>
      </c>
      <c r="O43">
        <f>Segmented!Q365</f>
        <v>0</v>
      </c>
      <c r="P43" t="str">
        <f>IF(O43=0,Segmented!R365,IF(Segmented!R365="ResSPHtFAFZ1","R-All-HVAC-ER-All-All-E",IF(Segmented!R365="ResSpHtBBZ1","R-All-HVAC-Zonal-All-All-E","R-All-HVAC-ASHP-All-All-E")))</f>
        <v/>
      </c>
      <c r="Q43" t="s">
        <v>172</v>
      </c>
    </row>
    <row r="44" spans="1:17">
      <c r="A44" t="str">
        <f>CONCATENATE(Segmented!A366," ",Segmented!C366)</f>
        <v>Manufactured Tier1_buffered</v>
      </c>
      <c r="B44" t="str">
        <f>Segmented!D366</f>
        <v>DHWkwh</v>
      </c>
      <c r="C44" s="41">
        <f>IF(Segmented!E366=0,0.00001,Segmented!E366)</f>
        <v>939.9177593105162</v>
      </c>
      <c r="D44">
        <f>Segmented!F366</f>
        <v>13</v>
      </c>
      <c r="E44">
        <f>Segmented!G366</f>
        <v>724.5875237038573</v>
      </c>
      <c r="F44">
        <f>Segmented!H366</f>
        <v>0</v>
      </c>
      <c r="G44" t="str">
        <f>IF(Segmented!I366="ResDHW","R-All-WH-WHConvert-All-All-N",IF(Segmented!I366="ResSPHtFAFZ1","R-All-HVAC-ER-All-All-E",IF(Segmented!I366="ResSpHtBBZ1","R-All-HVAC-Zonal-All-All-E","R-All-HVAC-CAC-All-All-E")))</f>
        <v>R-All-WH-WHConvert-All-All-N</v>
      </c>
      <c r="H44">
        <f>Segmented!J366</f>
        <v>0</v>
      </c>
      <c r="I44">
        <f>Segmented!K366</f>
        <v>0</v>
      </c>
      <c r="J44">
        <f>Segmented!L366</f>
        <v>0</v>
      </c>
      <c r="K44">
        <f>Segmented!M366</f>
        <v>0</v>
      </c>
      <c r="L44">
        <f>Segmented!N366</f>
        <v>0</v>
      </c>
      <c r="M44">
        <f>Segmented!O366</f>
        <v>0</v>
      </c>
      <c r="N44">
        <f>Segmented!P366</f>
        <v>0</v>
      </c>
      <c r="O44">
        <f>Segmented!Q366</f>
        <v>0</v>
      </c>
      <c r="P44" t="str">
        <f>IF(O44=0,Segmented!R366,IF(Segmented!R366="ResSPHtFAFZ1","R-All-HVAC-ER-All-All-E",IF(Segmented!R366="ResSpHtBBZ1","R-All-HVAC-Zonal-All-All-E","R-All-HVAC-ASHP-All-All-E")))</f>
        <v/>
      </c>
      <c r="Q44" t="s">
        <v>172</v>
      </c>
    </row>
    <row r="45" spans="1:17">
      <c r="A45" t="str">
        <f>CONCATENATE(Segmented!A367," ",Segmented!C367)</f>
        <v>Manufactured Tier1_buffered</v>
      </c>
      <c r="B45" t="str">
        <f>Segmented!D367</f>
        <v>Heatkwh</v>
      </c>
      <c r="C45" s="41">
        <f>IF(Segmented!E367=0,0.00001,Segmented!E367)</f>
        <v>1.0000000000000001E-5</v>
      </c>
      <c r="D45">
        <f>Segmented!F367</f>
        <v>13</v>
      </c>
      <c r="E45">
        <f>Segmented!G367</f>
        <v>0</v>
      </c>
      <c r="F45">
        <f>Segmented!H367</f>
        <v>0</v>
      </c>
      <c r="G45" t="str">
        <f>IF(Segmented!I367="ResDHW","R-All-WH-WHConvert-All-All-N",IF(Segmented!I367="ResSPHtFAFZ1","R-All-HVAC-ER-All-All-E",IF(Segmented!I367="ResSpHtBBZ1","R-All-HVAC-Zonal-All-All-E","R-All-HVAC-CAC-All-All-E")))</f>
        <v>R-All-HVAC-ER-All-All-E</v>
      </c>
      <c r="H45">
        <f>Segmented!J367</f>
        <v>0</v>
      </c>
      <c r="I45">
        <f>Segmented!K367</f>
        <v>0</v>
      </c>
      <c r="J45">
        <f>Segmented!L367</f>
        <v>0</v>
      </c>
      <c r="K45">
        <f>Segmented!M367</f>
        <v>0</v>
      </c>
      <c r="L45">
        <f>Segmented!N367</f>
        <v>0</v>
      </c>
      <c r="M45">
        <f>Segmented!O367</f>
        <v>0</v>
      </c>
      <c r="N45">
        <f>Segmented!P367</f>
        <v>0</v>
      </c>
      <c r="O45">
        <f>Segmented!Q367</f>
        <v>0</v>
      </c>
      <c r="P45" t="str">
        <f>IF(O45=0,Segmented!R367,IF(Segmented!R367="ResSPHtFAFZ1","R-All-HVAC-ER-All-All-E",IF(Segmented!R367="ResSpHtBBZ1","R-All-HVAC-Zonal-All-All-E","R-All-HVAC-ASHP-All-All-E")))</f>
        <v/>
      </c>
      <c r="Q45" t="s">
        <v>172</v>
      </c>
    </row>
    <row r="46" spans="1:17">
      <c r="A46" t="str">
        <f>CONCATENATE(Segmented!A368," ",Segmented!C368)</f>
        <v>Manufactured Tier1_buffered</v>
      </c>
      <c r="B46" t="str">
        <f>Segmented!D368</f>
        <v>Coolkwh</v>
      </c>
      <c r="C46" s="41">
        <f>IF(Segmented!E368=0,0.00001,Segmented!E368)</f>
        <v>1.0000000000000001E-5</v>
      </c>
      <c r="D46">
        <f>Segmented!F368</f>
        <v>13</v>
      </c>
      <c r="E46">
        <f>Segmented!G368</f>
        <v>0</v>
      </c>
      <c r="F46">
        <f>Segmented!H368</f>
        <v>0</v>
      </c>
      <c r="G46" t="str">
        <f>IF(Segmented!I368="ResDHW","R-All-WH-WHConvert-All-All-N",IF(Segmented!I368="ResSPHtFAFZ1","R-All-HVAC-ER-All-All-E",IF(Segmented!I368="ResSpHtBBZ1","R-All-HVAC-Zonal-All-All-E","R-All-HVAC-CAC-All-All-E")))</f>
        <v>R-All-HVAC-CAC-All-All-E</v>
      </c>
      <c r="H46">
        <f>Segmented!J368</f>
        <v>0</v>
      </c>
      <c r="I46">
        <f>Segmented!K368</f>
        <v>0</v>
      </c>
      <c r="J46">
        <f>Segmented!L368</f>
        <v>0</v>
      </c>
      <c r="K46">
        <f>Segmented!M368</f>
        <v>0</v>
      </c>
      <c r="L46">
        <f>Segmented!N368</f>
        <v>0</v>
      </c>
      <c r="M46">
        <f>Segmented!O368</f>
        <v>0</v>
      </c>
      <c r="N46">
        <f>Segmented!P368</f>
        <v>0</v>
      </c>
      <c r="O46">
        <f>Segmented!Q368</f>
        <v>0</v>
      </c>
      <c r="P46" t="str">
        <f>IF(O46=0,Segmented!R368,IF(Segmented!R368="ResSPHtFAFZ1","R-All-HVAC-ER-All-All-E",IF(Segmented!R368="ResSpHtBBZ1","R-All-HVAC-Zonal-All-All-E","R-All-HVAC-ASHP-All-All-E")))</f>
        <v/>
      </c>
      <c r="Q46" t="s">
        <v>172</v>
      </c>
    </row>
    <row r="47" spans="1:17">
      <c r="A47" t="str">
        <f>CONCATENATE(Segmented!A369," ",Segmented!C369)</f>
        <v>Manufactured Tier1_indor2_gfnc</v>
      </c>
      <c r="B47" t="str">
        <f>Segmented!D369</f>
        <v>DHWkwh</v>
      </c>
      <c r="C47" s="41">
        <f>IF(Segmented!E369=0,0.00001,Segmented!E369)</f>
        <v>1271.3874301974433</v>
      </c>
      <c r="D47">
        <f>Segmented!F369</f>
        <v>13</v>
      </c>
      <c r="E47">
        <f>Segmented!G369</f>
        <v>724.5875237038573</v>
      </c>
      <c r="F47">
        <f>Segmented!H369</f>
        <v>0</v>
      </c>
      <c r="G47" t="str">
        <f>IF(Segmented!I369="ResDHW","R-All-WH-WHConvert-All-All-N",IF(Segmented!I369="ResSPHtFAFZ1","R-All-HVAC-ER-All-All-E",IF(Segmented!I369="ResSpHtBBZ1","R-All-HVAC-Zonal-All-All-E","R-All-HVAC-CAC-All-All-E")))</f>
        <v>R-All-WH-WHConvert-All-All-N</v>
      </c>
      <c r="H47">
        <f>Segmented!J369</f>
        <v>-4.8682313075785526</v>
      </c>
      <c r="I47">
        <f>Segmented!K369</f>
        <v>0</v>
      </c>
      <c r="J47">
        <f>Segmented!L369</f>
        <v>0</v>
      </c>
      <c r="K47">
        <f>Segmented!M369</f>
        <v>0</v>
      </c>
      <c r="L47">
        <f>Segmented!N369</f>
        <v>0</v>
      </c>
      <c r="M47">
        <f>Segmented!O369</f>
        <v>0</v>
      </c>
      <c r="N47">
        <f>Segmented!P369</f>
        <v>0</v>
      </c>
      <c r="O47">
        <f>Segmented!Q369</f>
        <v>0</v>
      </c>
      <c r="P47" t="str">
        <f>IF(O47=0,Segmented!R369,IF(Segmented!R369="ResSPHtFAFZ1","R-All-HVAC-ER-All-All-E",IF(Segmented!R369="ResSpHtBBZ1","R-All-HVAC-Zonal-All-All-E","R-All-HVAC-ASHP-All-All-E")))</f>
        <v/>
      </c>
      <c r="Q47" t="s">
        <v>172</v>
      </c>
    </row>
    <row r="48" spans="1:17">
      <c r="A48" t="str">
        <f>CONCATENATE(Segmented!A370," ",Segmented!C370)</f>
        <v>Manufactured Tier1_indor2_gfnc</v>
      </c>
      <c r="B48" t="str">
        <f>Segmented!D370</f>
        <v>Heatkwh</v>
      </c>
      <c r="C48" s="41">
        <f>IF(Segmented!E370=0,0.00001,Segmented!E370)</f>
        <v>-12.894946349935299</v>
      </c>
      <c r="D48">
        <f>Segmented!F370</f>
        <v>13</v>
      </c>
      <c r="E48">
        <f>Segmented!G370</f>
        <v>0</v>
      </c>
      <c r="F48">
        <f>Segmented!H370</f>
        <v>0</v>
      </c>
      <c r="G48" t="str">
        <f>IF(Segmented!I370="ResDHW","R-All-WH-WHConvert-All-All-N",IF(Segmented!I370="ResSPHtFAFZ1","R-All-HVAC-ER-All-All-E",IF(Segmented!I370="ResSpHtBBZ1","R-All-HVAC-Zonal-All-All-E","R-All-HVAC-CAC-All-All-E")))</f>
        <v>R-All-HVAC-ER-All-All-E</v>
      </c>
      <c r="H48">
        <f>Segmented!J370</f>
        <v>-4.8682313075785526</v>
      </c>
      <c r="I48">
        <f>Segmented!K370</f>
        <v>0</v>
      </c>
      <c r="J48">
        <f>Segmented!L370</f>
        <v>0</v>
      </c>
      <c r="K48">
        <f>Segmented!M370</f>
        <v>0</v>
      </c>
      <c r="L48">
        <f>Segmented!N370</f>
        <v>0</v>
      </c>
      <c r="M48">
        <f>Segmented!O370</f>
        <v>0</v>
      </c>
      <c r="N48">
        <f>Segmented!P370</f>
        <v>0</v>
      </c>
      <c r="O48">
        <f>Segmented!Q370</f>
        <v>-18.818740530000344</v>
      </c>
      <c r="P48" t="str">
        <f>IF(O48=0,Segmented!R370,IF(Segmented!R370="ResSPHtFAFZ1","R-All-HVAC-ER-All-All-E",IF(Segmented!R370="ResSpHtBBZ1","R-All-HVAC-Zonal-All-All-E","R-All-HVAC-ASHP-All-All-E")))</f>
        <v>R-All-HVAC-ER-All-All-E</v>
      </c>
      <c r="Q48" t="s">
        <v>172</v>
      </c>
    </row>
    <row r="49" spans="1:17">
      <c r="A49" t="str">
        <f>CONCATENATE(Segmented!A371," ",Segmented!C371)</f>
        <v>Manufactured Tier1_indor2_gfnc</v>
      </c>
      <c r="B49" t="str">
        <f>Segmented!D371</f>
        <v>Coolkwh</v>
      </c>
      <c r="C49" s="41">
        <f>IF(Segmented!E371=0,0.00001,Segmented!E371)</f>
        <v>1.0000000000000001E-5</v>
      </c>
      <c r="D49">
        <f>Segmented!F371</f>
        <v>13</v>
      </c>
      <c r="E49">
        <f>Segmented!G371</f>
        <v>0</v>
      </c>
      <c r="F49">
        <f>Segmented!H371</f>
        <v>0</v>
      </c>
      <c r="G49" t="str">
        <f>IF(Segmented!I371="ResDHW","R-All-WH-WHConvert-All-All-N",IF(Segmented!I371="ResSPHtFAFZ1","R-All-HVAC-ER-All-All-E",IF(Segmented!I371="ResSpHtBBZ1","R-All-HVAC-Zonal-All-All-E","R-All-HVAC-CAC-All-All-E")))</f>
        <v>R-All-HVAC-CAC-All-All-E</v>
      </c>
      <c r="H49">
        <f>Segmented!J371</f>
        <v>-4.8682313075785526</v>
      </c>
      <c r="I49">
        <f>Segmented!K371</f>
        <v>0</v>
      </c>
      <c r="J49">
        <f>Segmented!L371</f>
        <v>0</v>
      </c>
      <c r="K49">
        <f>Segmented!M371</f>
        <v>0</v>
      </c>
      <c r="L49">
        <f>Segmented!N371</f>
        <v>0</v>
      </c>
      <c r="M49">
        <f>Segmented!O371</f>
        <v>0</v>
      </c>
      <c r="N49">
        <f>Segmented!P371</f>
        <v>0</v>
      </c>
      <c r="O49">
        <f>Segmented!Q371</f>
        <v>0</v>
      </c>
      <c r="P49" t="str">
        <f>IF(O49=0,Segmented!R371,IF(Segmented!R371="ResSPHtFAFZ1","R-All-HVAC-ER-All-All-E",IF(Segmented!R371="ResSpHtBBZ1","R-All-HVAC-Zonal-All-All-E","R-All-HVAC-ASHP-All-All-E")))</f>
        <v/>
      </c>
      <c r="Q49" t="s">
        <v>172</v>
      </c>
    </row>
    <row r="50" spans="1:17">
      <c r="A50" t="str">
        <f>CONCATENATE(Segmented!A372," ",Segmented!C372)</f>
        <v>Manufactured Tier1_indor2_gfac</v>
      </c>
      <c r="B50" t="str">
        <f>Segmented!D372</f>
        <v>DHWkwh</v>
      </c>
      <c r="C50" s="41">
        <f>IF(Segmented!E372=0,0.00001,Segmented!E372)</f>
        <v>1256.8914656855256</v>
      </c>
      <c r="D50">
        <f>Segmented!F372</f>
        <v>13</v>
      </c>
      <c r="E50">
        <f>Segmented!G372</f>
        <v>724.5875237038573</v>
      </c>
      <c r="F50">
        <f>Segmented!H372</f>
        <v>0</v>
      </c>
      <c r="G50" t="str">
        <f>IF(Segmented!I372="ResDHW","R-All-WH-WHConvert-All-All-N",IF(Segmented!I372="ResSPHtFAFZ1","R-All-HVAC-ER-All-All-E",IF(Segmented!I372="ResSpHtBBZ1","R-All-HVAC-Zonal-All-All-E","R-All-HVAC-CAC-All-All-E")))</f>
        <v>R-All-WH-WHConvert-All-All-N</v>
      </c>
      <c r="H50">
        <f>Segmented!J372</f>
        <v>-4.9203717908006261</v>
      </c>
      <c r="I50">
        <f>Segmented!K372</f>
        <v>0</v>
      </c>
      <c r="J50">
        <f>Segmented!L372</f>
        <v>0</v>
      </c>
      <c r="K50">
        <f>Segmented!M372</f>
        <v>0</v>
      </c>
      <c r="L50">
        <f>Segmented!N372</f>
        <v>0</v>
      </c>
      <c r="M50">
        <f>Segmented!O372</f>
        <v>0</v>
      </c>
      <c r="N50">
        <f>Segmented!P372</f>
        <v>0</v>
      </c>
      <c r="O50">
        <f>Segmented!Q372</f>
        <v>0</v>
      </c>
      <c r="P50" t="str">
        <f>IF(O50=0,Segmented!R372,IF(Segmented!R372="ResSPHtFAFZ1","R-All-HVAC-ER-All-All-E",IF(Segmented!R372="ResSpHtBBZ1","R-All-HVAC-Zonal-All-All-E","R-All-HVAC-ASHP-All-All-E")))</f>
        <v/>
      </c>
      <c r="Q50" t="s">
        <v>172</v>
      </c>
    </row>
    <row r="51" spans="1:17">
      <c r="A51" t="str">
        <f>CONCATENATE(Segmented!A373," ",Segmented!C373)</f>
        <v>Manufactured Tier1_indor2_gfac</v>
      </c>
      <c r="B51" t="str">
        <f>Segmented!D373</f>
        <v>Heatkwh</v>
      </c>
      <c r="C51" s="41">
        <f>IF(Segmented!E373=0,0.00001,Segmented!E373)</f>
        <v>-14.080608314333379</v>
      </c>
      <c r="D51">
        <f>Segmented!F373</f>
        <v>13</v>
      </c>
      <c r="E51">
        <f>Segmented!G373</f>
        <v>0</v>
      </c>
      <c r="F51">
        <f>Segmented!H373</f>
        <v>0</v>
      </c>
      <c r="G51" t="str">
        <f>IF(Segmented!I373="ResDHW","R-All-WH-WHConvert-All-All-N",IF(Segmented!I373="ResSPHtFAFZ1","R-All-HVAC-ER-All-All-E",IF(Segmented!I373="ResSpHtBBZ1","R-All-HVAC-Zonal-All-All-E","R-All-HVAC-CAC-All-All-E")))</f>
        <v>R-All-HVAC-ER-All-All-E</v>
      </c>
      <c r="H51">
        <f>Segmented!J373</f>
        <v>-4.9203717908006261</v>
      </c>
      <c r="I51">
        <f>Segmented!K373</f>
        <v>0</v>
      </c>
      <c r="J51">
        <f>Segmented!L373</f>
        <v>0</v>
      </c>
      <c r="K51">
        <f>Segmented!M373</f>
        <v>0</v>
      </c>
      <c r="L51">
        <f>Segmented!N373</f>
        <v>0</v>
      </c>
      <c r="M51">
        <f>Segmented!O373</f>
        <v>0</v>
      </c>
      <c r="N51">
        <f>Segmented!P373</f>
        <v>0</v>
      </c>
      <c r="O51">
        <f>Segmented!Q373</f>
        <v>-18.980054965029311</v>
      </c>
      <c r="P51" t="str">
        <f>IF(O51=0,Segmented!R373,IF(Segmented!R373="ResSPHtFAFZ1","R-All-HVAC-ER-All-All-E",IF(Segmented!R373="ResSpHtBBZ1","R-All-HVAC-Zonal-All-All-E","R-All-HVAC-ASHP-All-All-E")))</f>
        <v>R-All-HVAC-ER-All-All-E</v>
      </c>
      <c r="Q51" t="s">
        <v>172</v>
      </c>
    </row>
    <row r="52" spans="1:17">
      <c r="A52" t="str">
        <f>CONCATENATE(Segmented!A374," ",Segmented!C374)</f>
        <v>Manufactured Tier1_indor2_gfac</v>
      </c>
      <c r="B52" t="str">
        <f>Segmented!D374</f>
        <v>Coolkwh</v>
      </c>
      <c r="C52" s="41">
        <f>IF(Segmented!E374=0,0.00001,Segmented!E374)</f>
        <v>30.980944371868173</v>
      </c>
      <c r="D52">
        <f>Segmented!F374</f>
        <v>13</v>
      </c>
      <c r="E52">
        <f>Segmented!G374</f>
        <v>0</v>
      </c>
      <c r="F52">
        <f>Segmented!H374</f>
        <v>0</v>
      </c>
      <c r="G52" t="str">
        <f>IF(Segmented!I374="ResDHW","R-All-WH-WHConvert-All-All-N",IF(Segmented!I374="ResSPHtFAFZ1","R-All-HVAC-ER-All-All-E",IF(Segmented!I374="ResSpHtBBZ1","R-All-HVAC-Zonal-All-All-E","R-All-HVAC-CAC-All-All-E")))</f>
        <v>R-All-HVAC-CAC-All-All-E</v>
      </c>
      <c r="H52">
        <f>Segmented!J374</f>
        <v>-4.9203717908006261</v>
      </c>
      <c r="I52">
        <f>Segmented!K374</f>
        <v>0</v>
      </c>
      <c r="J52">
        <f>Segmented!L374</f>
        <v>0</v>
      </c>
      <c r="K52">
        <f>Segmented!M374</f>
        <v>0</v>
      </c>
      <c r="L52">
        <f>Segmented!N374</f>
        <v>0</v>
      </c>
      <c r="M52">
        <f>Segmented!O374</f>
        <v>0</v>
      </c>
      <c r="N52">
        <f>Segmented!P374</f>
        <v>0</v>
      </c>
      <c r="O52">
        <f>Segmented!Q374</f>
        <v>0</v>
      </c>
      <c r="P52" t="str">
        <f>IF(O52=0,Segmented!R374,IF(Segmented!R374="ResSPHtFAFZ1","R-All-HVAC-ER-All-All-E",IF(Segmented!R374="ResSpHtBBZ1","R-All-HVAC-Zonal-All-All-E","R-All-HVAC-ASHP-All-All-E")))</f>
        <v/>
      </c>
      <c r="Q52" t="s">
        <v>172</v>
      </c>
    </row>
    <row r="53" spans="1:17">
      <c r="A53" t="str">
        <f>CONCATENATE(Segmented!A375," ",Segmented!C375)</f>
        <v>Manufactured Tier1_indor2_efaf</v>
      </c>
      <c r="B53" t="str">
        <f>Segmented!D375</f>
        <v>DHWkwh</v>
      </c>
      <c r="C53" s="41">
        <f>IF(Segmented!E375=0,0.00001,Segmented!E375)</f>
        <v>1271.3874301974433</v>
      </c>
      <c r="D53">
        <f>Segmented!F375</f>
        <v>13</v>
      </c>
      <c r="E53">
        <f>Segmented!G375</f>
        <v>724.5875237038573</v>
      </c>
      <c r="F53">
        <f>Segmented!H375</f>
        <v>0</v>
      </c>
      <c r="G53" t="str">
        <f>IF(Segmented!I375="ResDHW","R-All-WH-WHConvert-All-All-N",IF(Segmented!I375="ResSPHtFAFZ1","R-All-HVAC-ER-All-All-E",IF(Segmented!I375="ResSpHtBBZ1","R-All-HVAC-Zonal-All-All-E","R-All-HVAC-CAC-All-All-E")))</f>
        <v>R-All-WH-WHConvert-All-All-N</v>
      </c>
      <c r="H53">
        <f>Segmented!J375</f>
        <v>-3.4321210290528681</v>
      </c>
      <c r="I53">
        <f>Segmented!K375</f>
        <v>0</v>
      </c>
      <c r="J53">
        <f>Segmented!L375</f>
        <v>0</v>
      </c>
      <c r="K53">
        <f>Segmented!M375</f>
        <v>0</v>
      </c>
      <c r="L53">
        <f>Segmented!N375</f>
        <v>0</v>
      </c>
      <c r="M53">
        <f>Segmented!O375</f>
        <v>0</v>
      </c>
      <c r="N53">
        <f>Segmented!P375</f>
        <v>0</v>
      </c>
      <c r="O53">
        <f>Segmented!Q375</f>
        <v>0</v>
      </c>
      <c r="P53" t="str">
        <f>IF(O53=0,Segmented!R375,IF(Segmented!R375="ResSPHtFAFZ1","R-All-HVAC-ER-All-All-E",IF(Segmented!R375="ResSpHtBBZ1","R-All-HVAC-Zonal-All-All-E","R-All-HVAC-ASHP-All-All-E")))</f>
        <v/>
      </c>
      <c r="Q53" t="s">
        <v>172</v>
      </c>
    </row>
    <row r="54" spans="1:17">
      <c r="A54" t="str">
        <f>CONCATENATE(Segmented!A376," ",Segmented!C376)</f>
        <v>Manufactured Tier1_indor2_efaf</v>
      </c>
      <c r="B54" t="str">
        <f>Segmented!D376</f>
        <v>Heatkwh</v>
      </c>
      <c r="C54" s="41">
        <f>IF(Segmented!E376=0,0.00001,Segmented!E376)</f>
        <v>-340.13690483525392</v>
      </c>
      <c r="D54">
        <f>Segmented!F376</f>
        <v>13</v>
      </c>
      <c r="E54">
        <f>Segmented!G376</f>
        <v>0</v>
      </c>
      <c r="F54">
        <f>Segmented!H376</f>
        <v>0</v>
      </c>
      <c r="G54" t="str">
        <f>IF(Segmented!I376="ResDHW","R-All-WH-WHConvert-All-All-N",IF(Segmented!I376="ResSPHtFAFZ1","R-All-HVAC-ER-All-All-E",IF(Segmented!I376="ResSpHtBBZ1","R-All-HVAC-Zonal-All-All-E","R-All-HVAC-CAC-All-All-E")))</f>
        <v>R-All-HVAC-ER-All-All-E</v>
      </c>
      <c r="H54">
        <f>Segmented!J376</f>
        <v>-3.4321210290528681</v>
      </c>
      <c r="I54">
        <f>Segmented!K376</f>
        <v>0</v>
      </c>
      <c r="J54">
        <f>Segmented!L376</f>
        <v>0</v>
      </c>
      <c r="K54">
        <f>Segmented!M376</f>
        <v>0</v>
      </c>
      <c r="L54">
        <f>Segmented!N376</f>
        <v>0</v>
      </c>
      <c r="M54">
        <f>Segmented!O376</f>
        <v>0</v>
      </c>
      <c r="N54">
        <f>Segmented!P376</f>
        <v>0</v>
      </c>
      <c r="O54">
        <f>Segmented!Q376</f>
        <v>-0.6167469118019353</v>
      </c>
      <c r="P54" t="str">
        <f>IF(O54=0,Segmented!R376,IF(Segmented!R376="ResSPHtFAFZ1","R-All-HVAC-ER-All-All-E",IF(Segmented!R376="ResSpHtBBZ1","R-All-HVAC-Zonal-All-All-E","R-All-HVAC-ASHP-All-All-E")))</f>
        <v>R-All-HVAC-ER-All-All-E</v>
      </c>
      <c r="Q54" t="s">
        <v>172</v>
      </c>
    </row>
    <row r="55" spans="1:17">
      <c r="A55" t="str">
        <f>CONCATENATE(Segmented!A377," ",Segmented!C377)</f>
        <v>Manufactured Tier1_indor2_efaf</v>
      </c>
      <c r="B55" t="str">
        <f>Segmented!D377</f>
        <v>Coolkwh</v>
      </c>
      <c r="C55" s="41">
        <f>IF(Segmented!E377=0,0.00001,Segmented!E377)</f>
        <v>1.0000000000000001E-5</v>
      </c>
      <c r="D55">
        <f>Segmented!F377</f>
        <v>13</v>
      </c>
      <c r="E55">
        <f>Segmented!G377</f>
        <v>0</v>
      </c>
      <c r="F55">
        <f>Segmented!H377</f>
        <v>0</v>
      </c>
      <c r="G55" t="str">
        <f>IF(Segmented!I377="ResDHW","R-All-WH-WHConvert-All-All-N",IF(Segmented!I377="ResSPHtFAFZ1","R-All-HVAC-ER-All-All-E",IF(Segmented!I377="ResSpHtBBZ1","R-All-HVAC-Zonal-All-All-E","R-All-HVAC-CAC-All-All-E")))</f>
        <v>R-All-HVAC-CAC-All-All-E</v>
      </c>
      <c r="H55">
        <f>Segmented!J377</f>
        <v>-3.4321210290528681</v>
      </c>
      <c r="I55">
        <f>Segmented!K377</f>
        <v>0</v>
      </c>
      <c r="J55">
        <f>Segmented!L377</f>
        <v>0</v>
      </c>
      <c r="K55">
        <f>Segmented!M377</f>
        <v>0</v>
      </c>
      <c r="L55">
        <f>Segmented!N377</f>
        <v>0</v>
      </c>
      <c r="M55">
        <f>Segmented!O377</f>
        <v>0</v>
      </c>
      <c r="N55">
        <f>Segmented!P377</f>
        <v>0</v>
      </c>
      <c r="O55">
        <f>Segmented!Q377</f>
        <v>0</v>
      </c>
      <c r="P55" t="str">
        <f>IF(O55=0,Segmented!R377,IF(Segmented!R377="ResSPHtFAFZ1","R-All-HVAC-ER-All-All-E",IF(Segmented!R377="ResSpHtBBZ1","R-All-HVAC-Zonal-All-All-E","R-All-HVAC-ASHP-All-All-E")))</f>
        <v/>
      </c>
      <c r="Q55" t="s">
        <v>172</v>
      </c>
    </row>
    <row r="56" spans="1:17">
      <c r="A56" t="str">
        <f>CONCATENATE(Segmented!A378," ",Segmented!C378)</f>
        <v>Manufactured Tier1_indor2_hp85</v>
      </c>
      <c r="B56" t="str">
        <f>Segmented!D378</f>
        <v>DHWkwh</v>
      </c>
      <c r="C56" s="41">
        <f>IF(Segmented!E378=0,0.00001,Segmented!E378)</f>
        <v>1256.8936915400509</v>
      </c>
      <c r="D56">
        <f>Segmented!F378</f>
        <v>13</v>
      </c>
      <c r="E56">
        <f>Segmented!G378</f>
        <v>724.5875237038573</v>
      </c>
      <c r="F56">
        <f>Segmented!H378</f>
        <v>0</v>
      </c>
      <c r="G56" t="str">
        <f>IF(Segmented!I378="ResDHW","R-All-WH-WHConvert-All-All-N",IF(Segmented!I378="ResSPHtFAFZ1","R-All-HVAC-ER-All-All-E",IF(Segmented!I378="ResSpHtBBZ1","R-All-HVAC-Zonal-All-All-E","R-All-HVAC-CAC-All-All-E")))</f>
        <v>R-All-WH-WHConvert-All-All-N</v>
      </c>
      <c r="H56">
        <f>Segmented!J378</f>
        <v>-1.8870172572652186</v>
      </c>
      <c r="I56">
        <f>Segmented!K378</f>
        <v>0</v>
      </c>
      <c r="J56">
        <f>Segmented!L378</f>
        <v>0</v>
      </c>
      <c r="K56">
        <f>Segmented!M378</f>
        <v>0</v>
      </c>
      <c r="L56">
        <f>Segmented!N378</f>
        <v>0</v>
      </c>
      <c r="M56">
        <f>Segmented!O378</f>
        <v>0</v>
      </c>
      <c r="N56">
        <f>Segmented!P378</f>
        <v>0</v>
      </c>
      <c r="O56">
        <f>Segmented!Q378</f>
        <v>0</v>
      </c>
      <c r="P56" t="str">
        <f>IF(O56=0,Segmented!R378,IF(Segmented!R378="ResSPHtFAFZ1","R-All-HVAC-ER-All-All-E",IF(Segmented!R378="ResSpHtBBZ1","R-All-HVAC-Zonal-All-All-E","R-All-HVAC-ASHP-All-All-E")))</f>
        <v/>
      </c>
      <c r="Q56" t="s">
        <v>172</v>
      </c>
    </row>
    <row r="57" spans="1:17">
      <c r="A57" t="str">
        <f>CONCATENATE(Segmented!A379," ",Segmented!C379)</f>
        <v>Manufactured Tier1_indor2_hp85</v>
      </c>
      <c r="B57" t="str">
        <f>Segmented!D379</f>
        <v>Heatkwh</v>
      </c>
      <c r="C57" s="41">
        <f>IF(Segmented!E379=0,0.00001,Segmented!E379)</f>
        <v>-187.24934071395714</v>
      </c>
      <c r="D57">
        <f>Segmented!F379</f>
        <v>13</v>
      </c>
      <c r="E57">
        <f>Segmented!G379</f>
        <v>0</v>
      </c>
      <c r="F57">
        <f>Segmented!H379</f>
        <v>0</v>
      </c>
      <c r="G57" t="str">
        <f>IF(Segmented!I379="ResDHW","R-All-WH-WHConvert-All-All-N",IF(Segmented!I379="ResSPHtFAFZ1","R-All-HVAC-ER-All-All-E",IF(Segmented!I379="ResSpHtBBZ1","R-All-HVAC-Zonal-All-All-E","R-All-HVAC-CAC-All-All-E")))</f>
        <v>R-All-HVAC-CAC-All-All-E</v>
      </c>
      <c r="H57">
        <f>Segmented!J379</f>
        <v>-1.8870172572652186</v>
      </c>
      <c r="I57">
        <f>Segmented!K379</f>
        <v>0</v>
      </c>
      <c r="J57">
        <f>Segmented!L379</f>
        <v>0</v>
      </c>
      <c r="K57">
        <f>Segmented!M379</f>
        <v>0</v>
      </c>
      <c r="L57">
        <f>Segmented!N379</f>
        <v>0</v>
      </c>
      <c r="M57">
        <f>Segmented!O379</f>
        <v>0</v>
      </c>
      <c r="N57">
        <f>Segmented!P379</f>
        <v>0</v>
      </c>
      <c r="O57">
        <f>Segmented!Q379</f>
        <v>-0.31773482851790352</v>
      </c>
      <c r="P57" t="str">
        <f>IF(O57=0,Segmented!R379,IF(Segmented!R379="ResSPHtFAFZ1","R-All-HVAC-ER-All-All-E",IF(Segmented!R379="ResSpHtBBZ1","R-All-HVAC-Zonal-All-All-E","R-All-HVAC-ASHP-All-All-E")))</f>
        <v>R-All-HVAC-ASHP-All-All-E</v>
      </c>
      <c r="Q57" t="s">
        <v>172</v>
      </c>
    </row>
    <row r="58" spans="1:17">
      <c r="A58" t="str">
        <f>CONCATENATE(Segmented!A380," ",Segmented!C380)</f>
        <v>Manufactured Tier1_indor2_hp85</v>
      </c>
      <c r="B58" t="str">
        <f>Segmented!D380</f>
        <v>Coolkwh</v>
      </c>
      <c r="C58" s="41">
        <f>IF(Segmented!E380=0,0.00001,Segmented!E380)</f>
        <v>31.160871390892524</v>
      </c>
      <c r="D58">
        <f>Segmented!F380</f>
        <v>13</v>
      </c>
      <c r="E58">
        <f>Segmented!G380</f>
        <v>0</v>
      </c>
      <c r="F58">
        <f>Segmented!H380</f>
        <v>0</v>
      </c>
      <c r="G58" t="str">
        <f>IF(Segmented!I380="ResDHW","R-All-WH-WHConvert-All-All-N",IF(Segmented!I380="ResSPHtFAFZ1","R-All-HVAC-ER-All-All-E",IF(Segmented!I380="ResSpHtBBZ1","R-All-HVAC-Zonal-All-All-E","R-All-HVAC-CAC-All-All-E")))</f>
        <v>R-All-HVAC-CAC-All-All-E</v>
      </c>
      <c r="H58">
        <f>Segmented!J380</f>
        <v>-1.8870172572652186</v>
      </c>
      <c r="I58">
        <f>Segmented!K380</f>
        <v>0</v>
      </c>
      <c r="J58">
        <f>Segmented!L380</f>
        <v>0</v>
      </c>
      <c r="K58">
        <f>Segmented!M380</f>
        <v>0</v>
      </c>
      <c r="L58">
        <f>Segmented!N380</f>
        <v>0</v>
      </c>
      <c r="M58">
        <f>Segmented!O380</f>
        <v>0</v>
      </c>
      <c r="N58">
        <f>Segmented!P380</f>
        <v>0</v>
      </c>
      <c r="O58">
        <f>Segmented!Q380</f>
        <v>0</v>
      </c>
      <c r="P58" t="str">
        <f>IF(O58=0,Segmented!R380,IF(Segmented!R380="ResSPHtFAFZ1","R-All-HVAC-ER-All-All-E",IF(Segmented!R380="ResSpHtBBZ1","R-All-HVAC-Zonal-All-All-E","R-All-HVAC-ASHP-All-All-E")))</f>
        <v/>
      </c>
      <c r="Q58" t="s">
        <v>172</v>
      </c>
    </row>
    <row r="59" spans="1:17">
      <c r="A59" t="str">
        <f>CONCATENATE(Segmented!A381," ",Segmented!C381)</f>
        <v>Manufactured Tier1_indor2_zonl</v>
      </c>
      <c r="B59" t="str">
        <f>Segmented!D381</f>
        <v>DHWkwh</v>
      </c>
      <c r="C59" s="41">
        <f>IF(Segmented!E381=0,0.00001,Segmented!E381)</f>
        <v>1271.3178057500804</v>
      </c>
      <c r="D59">
        <f>Segmented!F381</f>
        <v>13</v>
      </c>
      <c r="E59">
        <f>Segmented!G381</f>
        <v>724.5875237038573</v>
      </c>
      <c r="F59">
        <f>Segmented!H381</f>
        <v>0</v>
      </c>
      <c r="G59" t="str">
        <f>IF(Segmented!I381="ResDHW","R-All-WH-WHConvert-All-All-N",IF(Segmented!I381="ResSPHtFAFZ1","R-All-HVAC-ER-All-All-E",IF(Segmented!I381="ResSpHtBBZ1","R-All-HVAC-Zonal-All-All-E","R-All-HVAC-CAC-All-All-E")))</f>
        <v>R-All-WH-WHConvert-All-All-N</v>
      </c>
      <c r="H59">
        <f>Segmented!J381</f>
        <v>-3.0584943802000648</v>
      </c>
      <c r="I59">
        <f>Segmented!K381</f>
        <v>0</v>
      </c>
      <c r="J59">
        <f>Segmented!L381</f>
        <v>0</v>
      </c>
      <c r="K59">
        <f>Segmented!M381</f>
        <v>0</v>
      </c>
      <c r="L59">
        <f>Segmented!N381</f>
        <v>0</v>
      </c>
      <c r="M59">
        <f>Segmented!O381</f>
        <v>0</v>
      </c>
      <c r="N59">
        <f>Segmented!P381</f>
        <v>0</v>
      </c>
      <c r="O59">
        <f>Segmented!Q381</f>
        <v>0</v>
      </c>
      <c r="P59" t="str">
        <f>IF(O59=0,Segmented!R381,IF(Segmented!R381="ResSPHtFAFZ1","R-All-HVAC-ER-All-All-E",IF(Segmented!R381="ResSpHtBBZ1","R-All-HVAC-Zonal-All-All-E","R-All-HVAC-ASHP-All-All-E")))</f>
        <v/>
      </c>
      <c r="Q59" t="s">
        <v>172</v>
      </c>
    </row>
    <row r="60" spans="1:17">
      <c r="A60" t="str">
        <f>CONCATENATE(Segmented!A382," ",Segmented!C382)</f>
        <v>Manufactured Tier1_indor2_zonl</v>
      </c>
      <c r="B60" t="str">
        <f>Segmented!D382</f>
        <v>Heatkwh</v>
      </c>
      <c r="C60" s="41">
        <f>IF(Segmented!E382=0,0.00001,Segmented!E382)</f>
        <v>-303.10267342300324</v>
      </c>
      <c r="D60">
        <f>Segmented!F382</f>
        <v>13</v>
      </c>
      <c r="E60">
        <f>Segmented!G382</f>
        <v>0</v>
      </c>
      <c r="F60">
        <f>Segmented!H382</f>
        <v>0</v>
      </c>
      <c r="G60" t="str">
        <f>IF(Segmented!I382="ResDHW","R-All-WH-WHConvert-All-All-N",IF(Segmented!I382="ResSPHtFAFZ1","R-All-HVAC-ER-All-All-E",IF(Segmented!I382="ResSpHtBBZ1","R-All-HVAC-Zonal-All-All-E","R-All-HVAC-CAC-All-All-E")))</f>
        <v>R-All-HVAC-Zonal-All-All-E</v>
      </c>
      <c r="H60">
        <f>Segmented!J382</f>
        <v>-3.0584943802000648</v>
      </c>
      <c r="I60">
        <f>Segmented!K382</f>
        <v>0</v>
      </c>
      <c r="J60">
        <f>Segmented!L382</f>
        <v>0</v>
      </c>
      <c r="K60">
        <f>Segmented!M382</f>
        <v>0</v>
      </c>
      <c r="L60">
        <f>Segmented!N382</f>
        <v>0</v>
      </c>
      <c r="M60">
        <f>Segmented!O382</f>
        <v>0</v>
      </c>
      <c r="N60">
        <f>Segmented!P382</f>
        <v>0</v>
      </c>
      <c r="O60">
        <f>Segmented!Q382</f>
        <v>-0.55017463396988797</v>
      </c>
      <c r="P60" t="str">
        <f>IF(O60=0,Segmented!R382,IF(Segmented!R382="ResSPHtFAFZ1","R-All-HVAC-ER-All-All-E",IF(Segmented!R382="ResSpHtBBZ1","R-All-HVAC-Zonal-All-All-E","R-All-HVAC-ASHP-All-All-E")))</f>
        <v>R-All-HVAC-Zonal-All-All-E</v>
      </c>
      <c r="Q60" t="s">
        <v>172</v>
      </c>
    </row>
    <row r="61" spans="1:17">
      <c r="A61" t="str">
        <f>CONCATENATE(Segmented!A383," ",Segmented!C383)</f>
        <v>Manufactured Tier1_indor2_zonl</v>
      </c>
      <c r="B61" t="str">
        <f>Segmented!D383</f>
        <v>Coolkwh</v>
      </c>
      <c r="C61" s="41">
        <f>IF(Segmented!E383=0,0.00001,Segmented!E383)</f>
        <v>1.0000000000000001E-5</v>
      </c>
      <c r="D61">
        <f>Segmented!F383</f>
        <v>13</v>
      </c>
      <c r="E61">
        <f>Segmented!G383</f>
        <v>0</v>
      </c>
      <c r="F61">
        <f>Segmented!H383</f>
        <v>0</v>
      </c>
      <c r="G61" t="str">
        <f>IF(Segmented!I383="ResDHW","R-All-WH-WHConvert-All-All-N",IF(Segmented!I383="ResSPHtFAFZ1","R-All-HVAC-ER-All-All-E",IF(Segmented!I383="ResSpHtBBZ1","R-All-HVAC-Zonal-All-All-E","R-All-HVAC-CAC-All-All-E")))</f>
        <v>R-All-HVAC-CAC-All-All-E</v>
      </c>
      <c r="H61">
        <f>Segmented!J383</f>
        <v>-3.0584943802000648</v>
      </c>
      <c r="I61">
        <f>Segmented!K383</f>
        <v>0</v>
      </c>
      <c r="J61">
        <f>Segmented!L383</f>
        <v>0</v>
      </c>
      <c r="K61">
        <f>Segmented!M383</f>
        <v>0</v>
      </c>
      <c r="L61">
        <f>Segmented!N383</f>
        <v>0</v>
      </c>
      <c r="M61">
        <f>Segmented!O383</f>
        <v>0</v>
      </c>
      <c r="N61">
        <f>Segmented!P383</f>
        <v>0</v>
      </c>
      <c r="O61">
        <f>Segmented!Q383</f>
        <v>0</v>
      </c>
      <c r="P61" t="str">
        <f>IF(O61=0,Segmented!R383,IF(Segmented!R383="ResSPHtFAFZ1","R-All-HVAC-ER-All-All-E",IF(Segmented!R383="ResSpHtBBZ1","R-All-HVAC-Zonal-All-All-E","R-All-HVAC-ASHP-All-All-E")))</f>
        <v/>
      </c>
      <c r="Q61" t="s">
        <v>172</v>
      </c>
    </row>
    <row r="62" spans="1:17">
      <c r="A62" t="str">
        <f>CONCATENATE(Segmented!A384," ",Segmented!C384)</f>
        <v>Manufactured Tier2_buffered</v>
      </c>
      <c r="B62" t="str">
        <f>Segmented!D384</f>
        <v>DHWkwh</v>
      </c>
      <c r="C62" s="41">
        <f>IF(Segmented!E384=0,0.00001,Segmented!E384)</f>
        <v>295.29410496999685</v>
      </c>
      <c r="D62">
        <f>Segmented!F384</f>
        <v>13</v>
      </c>
      <c r="E62">
        <f>Segmented!G384</f>
        <v>1183.5005381933265</v>
      </c>
      <c r="F62">
        <f>Segmented!H384</f>
        <v>0</v>
      </c>
      <c r="G62" t="str">
        <f>IF(Segmented!I384="ResDHW","R-All-WH-WHConvert-All-All-N",IF(Segmented!I384="ResSPHtFAFZ1","R-All-HVAC-ER-All-All-E",IF(Segmented!I384="ResSpHtBBZ1","R-All-HVAC-Zonal-All-All-E","R-All-HVAC-CAC-All-All-E")))</f>
        <v>R-All-WH-WHConvert-All-All-N</v>
      </c>
      <c r="H62">
        <f>Segmented!J384</f>
        <v>0</v>
      </c>
      <c r="I62">
        <f>Segmented!K384</f>
        <v>0</v>
      </c>
      <c r="J62">
        <f>Segmented!L384</f>
        <v>0</v>
      </c>
      <c r="K62">
        <f>Segmented!M384</f>
        <v>0</v>
      </c>
      <c r="L62">
        <f>Segmented!N384</f>
        <v>0</v>
      </c>
      <c r="M62">
        <f>Segmented!O384</f>
        <v>0</v>
      </c>
      <c r="N62">
        <f>Segmented!P384</f>
        <v>0</v>
      </c>
      <c r="O62">
        <f>Segmented!Q384</f>
        <v>0</v>
      </c>
      <c r="P62" t="str">
        <f>IF(O62=0,Segmented!R384,IF(Segmented!R384="ResSPHtFAFZ1","R-All-HVAC-ER-All-All-E",IF(Segmented!R384="ResSpHtBBZ1","R-All-HVAC-Zonal-All-All-E","R-All-HVAC-ASHP-All-All-E")))</f>
        <v/>
      </c>
      <c r="Q62" t="s">
        <v>172</v>
      </c>
    </row>
    <row r="63" spans="1:17">
      <c r="A63" t="str">
        <f>CONCATENATE(Segmented!A385," ",Segmented!C385)</f>
        <v>Manufactured Tier2_buffered</v>
      </c>
      <c r="B63" t="str">
        <f>Segmented!D385</f>
        <v>Heatkwh</v>
      </c>
      <c r="C63" s="41">
        <f>IF(Segmented!E385=0,0.00001,Segmented!E385)</f>
        <v>1.0000000000000001E-5</v>
      </c>
      <c r="D63">
        <f>Segmented!F385</f>
        <v>13</v>
      </c>
      <c r="E63">
        <f>Segmented!G385</f>
        <v>0</v>
      </c>
      <c r="F63">
        <f>Segmented!H385</f>
        <v>0</v>
      </c>
      <c r="G63" t="str">
        <f>IF(Segmented!I385="ResDHW","R-All-WH-WHConvert-All-All-N",IF(Segmented!I385="ResSPHtFAFZ1","R-All-HVAC-ER-All-All-E",IF(Segmented!I385="ResSpHtBBZ1","R-All-HVAC-Zonal-All-All-E","R-All-HVAC-CAC-All-All-E")))</f>
        <v>R-All-HVAC-ER-All-All-E</v>
      </c>
      <c r="H63">
        <f>Segmented!J385</f>
        <v>0</v>
      </c>
      <c r="I63">
        <f>Segmented!K385</f>
        <v>0</v>
      </c>
      <c r="J63">
        <f>Segmented!L385</f>
        <v>0</v>
      </c>
      <c r="K63">
        <f>Segmented!M385</f>
        <v>0</v>
      </c>
      <c r="L63">
        <f>Segmented!N385</f>
        <v>0</v>
      </c>
      <c r="M63">
        <f>Segmented!O385</f>
        <v>0</v>
      </c>
      <c r="N63">
        <f>Segmented!P385</f>
        <v>0</v>
      </c>
      <c r="O63">
        <f>Segmented!Q385</f>
        <v>0</v>
      </c>
      <c r="P63" t="str">
        <f>IF(O63=0,Segmented!R385,IF(Segmented!R385="ResSPHtFAFZ1","R-All-HVAC-ER-All-All-E",IF(Segmented!R385="ResSpHtBBZ1","R-All-HVAC-Zonal-All-All-E","R-All-HVAC-ASHP-All-All-E")))</f>
        <v/>
      </c>
      <c r="Q63" t="s">
        <v>172</v>
      </c>
    </row>
    <row r="64" spans="1:17">
      <c r="A64" t="str">
        <f>CONCATENATE(Segmented!A386," ",Segmented!C386)</f>
        <v>Manufactured Tier2_buffered</v>
      </c>
      <c r="B64" t="str">
        <f>Segmented!D386</f>
        <v>Coolkwh</v>
      </c>
      <c r="C64" s="41">
        <f>IF(Segmented!E386=0,0.00001,Segmented!E386)</f>
        <v>1.0000000000000001E-5</v>
      </c>
      <c r="D64">
        <f>Segmented!F386</f>
        <v>13</v>
      </c>
      <c r="E64">
        <f>Segmented!G386</f>
        <v>0</v>
      </c>
      <c r="F64">
        <f>Segmented!H386</f>
        <v>0</v>
      </c>
      <c r="G64" t="str">
        <f>IF(Segmented!I386="ResDHW","R-All-WH-WHConvert-All-All-N",IF(Segmented!I386="ResSPHtFAFZ1","R-All-HVAC-ER-All-All-E",IF(Segmented!I386="ResSpHtBBZ1","R-All-HVAC-Zonal-All-All-E","R-All-HVAC-CAC-All-All-E")))</f>
        <v>R-All-HVAC-CAC-All-All-E</v>
      </c>
      <c r="H64">
        <f>Segmented!J386</f>
        <v>0</v>
      </c>
      <c r="I64">
        <f>Segmented!K386</f>
        <v>0</v>
      </c>
      <c r="J64">
        <f>Segmented!L386</f>
        <v>0</v>
      </c>
      <c r="K64">
        <f>Segmented!M386</f>
        <v>0</v>
      </c>
      <c r="L64">
        <f>Segmented!N386</f>
        <v>0</v>
      </c>
      <c r="M64">
        <f>Segmented!O386</f>
        <v>0</v>
      </c>
      <c r="N64">
        <f>Segmented!P386</f>
        <v>0</v>
      </c>
      <c r="O64">
        <f>Segmented!Q386</f>
        <v>0</v>
      </c>
      <c r="P64" t="str">
        <f>IF(O64=0,Segmented!R386,IF(Segmented!R386="ResSPHtFAFZ1","R-All-HVAC-ER-All-All-E",IF(Segmented!R386="ResSpHtBBZ1","R-All-HVAC-Zonal-All-All-E","R-All-HVAC-ASHP-All-All-E")))</f>
        <v/>
      </c>
      <c r="Q64" t="s">
        <v>172</v>
      </c>
    </row>
    <row r="65" spans="1:17">
      <c r="A65" t="str">
        <f>CONCATENATE(Segmented!A387," ",Segmented!C387)</f>
        <v>Manufactured Tier2_indor2_gfnc</v>
      </c>
      <c r="B65" t="str">
        <f>Segmented!D387</f>
        <v>DHWkwh</v>
      </c>
      <c r="C65" s="41">
        <f>IF(Segmented!E387=0,0.00001,Segmented!E387)</f>
        <v>83.314555641672925</v>
      </c>
      <c r="D65">
        <f>Segmented!F387</f>
        <v>13</v>
      </c>
      <c r="E65">
        <f>Segmented!G387</f>
        <v>1183.5005381933265</v>
      </c>
      <c r="F65">
        <f>Segmented!H387</f>
        <v>0</v>
      </c>
      <c r="G65" t="str">
        <f>IF(Segmented!I387="ResDHW","R-All-WH-WHConvert-All-All-N",IF(Segmented!I387="ResSPHtFAFZ1","R-All-HVAC-ER-All-All-E",IF(Segmented!I387="ResSpHtBBZ1","R-All-HVAC-Zonal-All-All-E","R-All-HVAC-CAC-All-All-E")))</f>
        <v>R-All-WH-WHConvert-All-All-N</v>
      </c>
      <c r="H65">
        <f>Segmented!J387</f>
        <v>-0.84882475063995111</v>
      </c>
      <c r="I65">
        <f>Segmented!K387</f>
        <v>0</v>
      </c>
      <c r="J65">
        <f>Segmented!L387</f>
        <v>0</v>
      </c>
      <c r="K65">
        <f>Segmented!M387</f>
        <v>0</v>
      </c>
      <c r="L65">
        <f>Segmented!N387</f>
        <v>0</v>
      </c>
      <c r="M65">
        <f>Segmented!O387</f>
        <v>0</v>
      </c>
      <c r="N65">
        <f>Segmented!P387</f>
        <v>0</v>
      </c>
      <c r="O65">
        <f>Segmented!Q387</f>
        <v>0</v>
      </c>
      <c r="P65" t="str">
        <f>IF(O65=0,Segmented!R387,IF(Segmented!R387="ResSPHtFAFZ1","R-All-HVAC-ER-All-All-E",IF(Segmented!R387="ResSpHtBBZ1","R-All-HVAC-Zonal-All-All-E","R-All-HVAC-ASHP-All-All-E")))</f>
        <v/>
      </c>
      <c r="Q65" t="s">
        <v>172</v>
      </c>
    </row>
    <row r="66" spans="1:17">
      <c r="A66" t="str">
        <f>CONCATENATE(Segmented!A388," ",Segmented!C388)</f>
        <v>Manufactured Tier2_indor2_gfnc</v>
      </c>
      <c r="B66" t="str">
        <f>Segmented!D388</f>
        <v>Heatkwh</v>
      </c>
      <c r="C66" s="41">
        <f>IF(Segmented!E388=0,0.00001,Segmented!E388)</f>
        <v>-2.2637514832828005</v>
      </c>
      <c r="D66">
        <f>Segmented!F388</f>
        <v>13</v>
      </c>
      <c r="E66">
        <f>Segmented!G388</f>
        <v>0</v>
      </c>
      <c r="F66">
        <f>Segmented!H388</f>
        <v>0</v>
      </c>
      <c r="G66" t="str">
        <f>IF(Segmented!I388="ResDHW","R-All-WH-WHConvert-All-All-N",IF(Segmented!I388="ResSPHtFAFZ1","R-All-HVAC-ER-All-All-E",IF(Segmented!I388="ResSpHtBBZ1","R-All-HVAC-Zonal-All-All-E","R-All-HVAC-CAC-All-All-E")))</f>
        <v>R-All-HVAC-ER-All-All-E</v>
      </c>
      <c r="H66">
        <f>Segmented!J388</f>
        <v>-0.84882475063995111</v>
      </c>
      <c r="I66">
        <f>Segmented!K388</f>
        <v>0</v>
      </c>
      <c r="J66">
        <f>Segmented!L388</f>
        <v>0</v>
      </c>
      <c r="K66">
        <f>Segmented!M388</f>
        <v>0</v>
      </c>
      <c r="L66">
        <f>Segmented!N388</f>
        <v>0</v>
      </c>
      <c r="M66">
        <f>Segmented!O388</f>
        <v>0</v>
      </c>
      <c r="N66">
        <f>Segmented!P388</f>
        <v>0</v>
      </c>
      <c r="O66">
        <f>Segmented!Q388</f>
        <v>-3.2805277823109287</v>
      </c>
      <c r="P66" t="str">
        <f>IF(O66=0,Segmented!R388,IF(Segmented!R388="ResSPHtFAFZ1","R-All-HVAC-ER-All-All-E",IF(Segmented!R388="ResSpHtBBZ1","R-All-HVAC-Zonal-All-All-E","R-All-HVAC-ASHP-All-All-E")))</f>
        <v>R-All-HVAC-ER-All-All-E</v>
      </c>
      <c r="Q66" t="s">
        <v>172</v>
      </c>
    </row>
    <row r="67" spans="1:17">
      <c r="A67" t="str">
        <f>CONCATENATE(Segmented!A389," ",Segmented!C389)</f>
        <v>Manufactured Tier2_indor2_gfnc</v>
      </c>
      <c r="B67" t="str">
        <f>Segmented!D389</f>
        <v>Coolkwh</v>
      </c>
      <c r="C67" s="41">
        <f>IF(Segmented!E389=0,0.00001,Segmented!E389)</f>
        <v>1.0000000000000001E-5</v>
      </c>
      <c r="D67">
        <f>Segmented!F389</f>
        <v>13</v>
      </c>
      <c r="E67">
        <f>Segmented!G389</f>
        <v>0</v>
      </c>
      <c r="F67">
        <f>Segmented!H389</f>
        <v>0</v>
      </c>
      <c r="G67" t="str">
        <f>IF(Segmented!I389="ResDHW","R-All-WH-WHConvert-All-All-N",IF(Segmented!I389="ResSPHtFAFZ1","R-All-HVAC-ER-All-All-E",IF(Segmented!I389="ResSpHtBBZ1","R-All-HVAC-Zonal-All-All-E","R-All-HVAC-CAC-All-All-E")))</f>
        <v>R-All-HVAC-CAC-All-All-E</v>
      </c>
      <c r="H67">
        <f>Segmented!J389</f>
        <v>-0.84882475063995111</v>
      </c>
      <c r="I67">
        <f>Segmented!K389</f>
        <v>0</v>
      </c>
      <c r="J67">
        <f>Segmented!L389</f>
        <v>0</v>
      </c>
      <c r="K67">
        <f>Segmented!M389</f>
        <v>0</v>
      </c>
      <c r="L67">
        <f>Segmented!N389</f>
        <v>0</v>
      </c>
      <c r="M67">
        <f>Segmented!O389</f>
        <v>0</v>
      </c>
      <c r="N67">
        <f>Segmented!P389</f>
        <v>0</v>
      </c>
      <c r="O67">
        <f>Segmented!Q389</f>
        <v>0</v>
      </c>
      <c r="P67" t="str">
        <f>IF(O67=0,Segmented!R389,IF(Segmented!R389="ResSPHtFAFZ1","R-All-HVAC-ER-All-All-E",IF(Segmented!R389="ResSpHtBBZ1","R-All-HVAC-Zonal-All-All-E","R-All-HVAC-ASHP-All-All-E")))</f>
        <v/>
      </c>
      <c r="Q67" t="s">
        <v>172</v>
      </c>
    </row>
    <row r="68" spans="1:17">
      <c r="A68" t="str">
        <f>CONCATENATE(Segmented!A390," ",Segmented!C390)</f>
        <v>Manufactured Tier2_indor2_gfac</v>
      </c>
      <c r="B68" t="str">
        <f>Segmented!D390</f>
        <v>DHWkwh</v>
      </c>
      <c r="C68" s="41">
        <f>IF(Segmented!E390=0,0.00001,Segmented!E390)</f>
        <v>89.057413754093687</v>
      </c>
      <c r="D68">
        <f>Segmented!F390</f>
        <v>13</v>
      </c>
      <c r="E68">
        <f>Segmented!G390</f>
        <v>1183.5005381933265</v>
      </c>
      <c r="F68">
        <f>Segmented!H390</f>
        <v>0</v>
      </c>
      <c r="G68" t="str">
        <f>IF(Segmented!I390="ResDHW","R-All-WH-WHConvert-All-All-N",IF(Segmented!I390="ResSPHtFAFZ1","R-All-HVAC-ER-All-All-E",IF(Segmented!I390="ResSpHtBBZ1","R-All-HVAC-Zonal-All-All-E","R-All-HVAC-CAC-All-All-E")))</f>
        <v>R-All-WH-WHConvert-All-All-N</v>
      </c>
      <c r="H68">
        <f>Segmented!J390</f>
        <v>-0.86520382626390335</v>
      </c>
      <c r="I68">
        <f>Segmented!K390</f>
        <v>0</v>
      </c>
      <c r="J68">
        <f>Segmented!L390</f>
        <v>0</v>
      </c>
      <c r="K68">
        <f>Segmented!M390</f>
        <v>0</v>
      </c>
      <c r="L68">
        <f>Segmented!N390</f>
        <v>0</v>
      </c>
      <c r="M68">
        <f>Segmented!O390</f>
        <v>0</v>
      </c>
      <c r="N68">
        <f>Segmented!P390</f>
        <v>0</v>
      </c>
      <c r="O68">
        <f>Segmented!Q390</f>
        <v>0</v>
      </c>
      <c r="P68" t="str">
        <f>IF(O68=0,Segmented!R390,IF(Segmented!R390="ResSPHtFAFZ1","R-All-HVAC-ER-All-All-E",IF(Segmented!R390="ResSpHtBBZ1","R-All-HVAC-Zonal-All-All-E","R-All-HVAC-ASHP-All-All-E")))</f>
        <v/>
      </c>
      <c r="Q68" t="s">
        <v>172</v>
      </c>
    </row>
    <row r="69" spans="1:17">
      <c r="A69" t="str">
        <f>CONCATENATE(Segmented!A391," ",Segmented!C391)</f>
        <v>Manufactured Tier2_indor2_gfac</v>
      </c>
      <c r="B69" t="str">
        <f>Segmented!D391</f>
        <v>Heatkwh</v>
      </c>
      <c r="C69" s="41">
        <f>IF(Segmented!E391=0,0.00001,Segmented!E391)</f>
        <v>-2.477359795878221</v>
      </c>
      <c r="D69">
        <f>Segmented!F391</f>
        <v>13</v>
      </c>
      <c r="E69">
        <f>Segmented!G391</f>
        <v>0</v>
      </c>
      <c r="F69">
        <f>Segmented!H391</f>
        <v>0</v>
      </c>
      <c r="G69" t="str">
        <f>IF(Segmented!I391="ResDHW","R-All-WH-WHConvert-All-All-N",IF(Segmented!I391="ResSPHtFAFZ1","R-All-HVAC-ER-All-All-E",IF(Segmented!I391="ResSpHtBBZ1","R-All-HVAC-Zonal-All-All-E","R-All-HVAC-CAC-All-All-E")))</f>
        <v>R-All-HVAC-ER-All-All-E</v>
      </c>
      <c r="H69">
        <f>Segmented!J391</f>
        <v>-0.86520382626390335</v>
      </c>
      <c r="I69">
        <f>Segmented!K391</f>
        <v>0</v>
      </c>
      <c r="J69">
        <f>Segmented!L391</f>
        <v>0</v>
      </c>
      <c r="K69">
        <f>Segmented!M391</f>
        <v>0</v>
      </c>
      <c r="L69">
        <f>Segmented!N391</f>
        <v>0</v>
      </c>
      <c r="M69">
        <f>Segmented!O391</f>
        <v>0</v>
      </c>
      <c r="N69">
        <f>Segmented!P391</f>
        <v>0</v>
      </c>
      <c r="O69">
        <f>Segmented!Q391</f>
        <v>-3.3370468367574389</v>
      </c>
      <c r="P69" t="str">
        <f>IF(O69=0,Segmented!R391,IF(Segmented!R391="ResSPHtFAFZ1","R-All-HVAC-ER-All-All-E",IF(Segmented!R391="ResSpHtBBZ1","R-All-HVAC-Zonal-All-All-E","R-All-HVAC-ASHP-All-All-E")))</f>
        <v>R-All-HVAC-ER-All-All-E</v>
      </c>
      <c r="Q69" t="s">
        <v>172</v>
      </c>
    </row>
    <row r="70" spans="1:17">
      <c r="A70" t="str">
        <f>CONCATENATE(Segmented!A392," ",Segmented!C392)</f>
        <v>Manufactured Tier2_indor2_gfac</v>
      </c>
      <c r="B70" t="str">
        <f>Segmented!D392</f>
        <v>Coolkwh</v>
      </c>
      <c r="C70" s="41">
        <f>IF(Segmented!E392=0,0.00001,Segmented!E392)</f>
        <v>-4.6863626022599112</v>
      </c>
      <c r="D70">
        <f>Segmented!F392</f>
        <v>13</v>
      </c>
      <c r="E70">
        <f>Segmented!G392</f>
        <v>0</v>
      </c>
      <c r="F70">
        <f>Segmented!H392</f>
        <v>0</v>
      </c>
      <c r="G70" t="str">
        <f>IF(Segmented!I392="ResDHW","R-All-WH-WHConvert-All-All-N",IF(Segmented!I392="ResSPHtFAFZ1","R-All-HVAC-ER-All-All-E",IF(Segmented!I392="ResSpHtBBZ1","R-All-HVAC-Zonal-All-All-E","R-All-HVAC-CAC-All-All-E")))</f>
        <v>R-All-HVAC-CAC-All-All-E</v>
      </c>
      <c r="H70">
        <f>Segmented!J392</f>
        <v>-0.86520382626390335</v>
      </c>
      <c r="I70">
        <f>Segmented!K392</f>
        <v>0</v>
      </c>
      <c r="J70">
        <f>Segmented!L392</f>
        <v>0</v>
      </c>
      <c r="K70">
        <f>Segmented!M392</f>
        <v>0</v>
      </c>
      <c r="L70">
        <f>Segmented!N392</f>
        <v>0</v>
      </c>
      <c r="M70">
        <f>Segmented!O392</f>
        <v>0</v>
      </c>
      <c r="N70">
        <f>Segmented!P392</f>
        <v>0</v>
      </c>
      <c r="O70">
        <f>Segmented!Q392</f>
        <v>0</v>
      </c>
      <c r="P70" t="str">
        <f>IF(O70=0,Segmented!R392,IF(Segmented!R392="ResSPHtFAFZ1","R-All-HVAC-ER-All-All-E",IF(Segmented!R392="ResSpHtBBZ1","R-All-HVAC-Zonal-All-All-E","R-All-HVAC-ASHP-All-All-E")))</f>
        <v/>
      </c>
      <c r="Q70" t="s">
        <v>172</v>
      </c>
    </row>
    <row r="71" spans="1:17">
      <c r="A71" t="str">
        <f>CONCATENATE(Segmented!A393," ",Segmented!C393)</f>
        <v>Manufactured Tier2_indor2_efaf</v>
      </c>
      <c r="B71" t="str">
        <f>Segmented!D393</f>
        <v>DHWkwh</v>
      </c>
      <c r="C71" s="41">
        <f>IF(Segmented!E393=0,0.00001,Segmented!E393)</f>
        <v>83.314555641672925</v>
      </c>
      <c r="D71">
        <f>Segmented!F393</f>
        <v>13</v>
      </c>
      <c r="E71">
        <f>Segmented!G393</f>
        <v>1183.5005381933265</v>
      </c>
      <c r="F71">
        <f>Segmented!H393</f>
        <v>0</v>
      </c>
      <c r="G71" t="str">
        <f>IF(Segmented!I393="ResDHW","R-All-WH-WHConvert-All-All-N",IF(Segmented!I393="ResSPHtFAFZ1","R-All-HVAC-ER-All-All-E",IF(Segmented!I393="ResSpHtBBZ1","R-All-HVAC-Zonal-All-All-E","R-All-HVAC-CAC-All-All-E")))</f>
        <v>R-All-WH-WHConvert-All-All-N</v>
      </c>
      <c r="H71">
        <f>Segmented!J393</f>
        <v>-0.59843555031109164</v>
      </c>
      <c r="I71">
        <f>Segmented!K393</f>
        <v>0</v>
      </c>
      <c r="J71">
        <f>Segmented!L393</f>
        <v>0</v>
      </c>
      <c r="K71">
        <f>Segmented!M393</f>
        <v>0</v>
      </c>
      <c r="L71">
        <f>Segmented!N393</f>
        <v>0</v>
      </c>
      <c r="M71">
        <f>Segmented!O393</f>
        <v>0</v>
      </c>
      <c r="N71">
        <f>Segmented!P393</f>
        <v>0</v>
      </c>
      <c r="O71">
        <f>Segmented!Q393</f>
        <v>0</v>
      </c>
      <c r="P71" t="str">
        <f>IF(O71=0,Segmented!R393,IF(Segmented!R393="ResSPHtFAFZ1","R-All-HVAC-ER-All-All-E",IF(Segmented!R393="ResSpHtBBZ1","R-All-HVAC-Zonal-All-All-E","R-All-HVAC-ASHP-All-All-E")))</f>
        <v/>
      </c>
      <c r="Q71" t="s">
        <v>172</v>
      </c>
    </row>
    <row r="72" spans="1:17">
      <c r="A72" t="str">
        <f>CONCATENATE(Segmented!A394," ",Segmented!C394)</f>
        <v>Manufactured Tier2_indor2_efaf</v>
      </c>
      <c r="B72" t="str">
        <f>Segmented!D394</f>
        <v>Heatkwh</v>
      </c>
      <c r="C72" s="41">
        <f>IF(Segmented!E394=0,0.00001,Segmented!E394)</f>
        <v>-59.309250809255715</v>
      </c>
      <c r="D72">
        <f>Segmented!F394</f>
        <v>13</v>
      </c>
      <c r="E72">
        <f>Segmented!G394</f>
        <v>0</v>
      </c>
      <c r="F72">
        <f>Segmented!H394</f>
        <v>0</v>
      </c>
      <c r="G72" t="str">
        <f>IF(Segmented!I394="ResDHW","R-All-WH-WHConvert-All-All-N",IF(Segmented!I394="ResSPHtFAFZ1","R-All-HVAC-ER-All-All-E",IF(Segmented!I394="ResSpHtBBZ1","R-All-HVAC-Zonal-All-All-E","R-All-HVAC-CAC-All-All-E")))</f>
        <v>R-All-HVAC-ER-All-All-E</v>
      </c>
      <c r="H72">
        <f>Segmented!J394</f>
        <v>-0.59843555031109164</v>
      </c>
      <c r="I72">
        <f>Segmented!K394</f>
        <v>0</v>
      </c>
      <c r="J72">
        <f>Segmented!L394</f>
        <v>0</v>
      </c>
      <c r="K72">
        <f>Segmented!M394</f>
        <v>0</v>
      </c>
      <c r="L72">
        <f>Segmented!N394</f>
        <v>0</v>
      </c>
      <c r="M72">
        <f>Segmented!O394</f>
        <v>0</v>
      </c>
      <c r="N72">
        <f>Segmented!P394</f>
        <v>0</v>
      </c>
      <c r="O72">
        <f>Segmented!Q394</f>
        <v>-0.10736797974600408</v>
      </c>
      <c r="P72" t="str">
        <f>IF(O72=0,Segmented!R394,IF(Segmented!R394="ResSPHtFAFZ1","R-All-HVAC-ER-All-All-E",IF(Segmented!R394="ResSpHtBBZ1","R-All-HVAC-Zonal-All-All-E","R-All-HVAC-ASHP-All-All-E")))</f>
        <v>R-All-HVAC-ER-All-All-E</v>
      </c>
      <c r="Q72" t="s">
        <v>172</v>
      </c>
    </row>
    <row r="73" spans="1:17">
      <c r="A73" t="str">
        <f>CONCATENATE(Segmented!A395," ",Segmented!C395)</f>
        <v>Manufactured Tier2_indor2_efaf</v>
      </c>
      <c r="B73" t="str">
        <f>Segmented!D395</f>
        <v>Coolkwh</v>
      </c>
      <c r="C73" s="41">
        <f>IF(Segmented!E395=0,0.00001,Segmented!E395)</f>
        <v>1.0000000000000001E-5</v>
      </c>
      <c r="D73">
        <f>Segmented!F395</f>
        <v>13</v>
      </c>
      <c r="E73">
        <f>Segmented!G395</f>
        <v>0</v>
      </c>
      <c r="F73">
        <f>Segmented!H395</f>
        <v>0</v>
      </c>
      <c r="G73" t="str">
        <f>IF(Segmented!I395="ResDHW","R-All-WH-WHConvert-All-All-N",IF(Segmented!I395="ResSPHtFAFZ1","R-All-HVAC-ER-All-All-E",IF(Segmented!I395="ResSpHtBBZ1","R-All-HVAC-Zonal-All-All-E","R-All-HVAC-CAC-All-All-E")))</f>
        <v>R-All-HVAC-CAC-All-All-E</v>
      </c>
      <c r="H73">
        <f>Segmented!J395</f>
        <v>-0.59843555031109164</v>
      </c>
      <c r="I73">
        <f>Segmented!K395</f>
        <v>0</v>
      </c>
      <c r="J73">
        <f>Segmented!L395</f>
        <v>0</v>
      </c>
      <c r="K73">
        <f>Segmented!M395</f>
        <v>0</v>
      </c>
      <c r="L73">
        <f>Segmented!N395</f>
        <v>0</v>
      </c>
      <c r="M73">
        <f>Segmented!O395</f>
        <v>0</v>
      </c>
      <c r="N73">
        <f>Segmented!P395</f>
        <v>0</v>
      </c>
      <c r="O73">
        <f>Segmented!Q395</f>
        <v>0</v>
      </c>
      <c r="P73" t="str">
        <f>IF(O73=0,Segmented!R395,IF(Segmented!R395="ResSPHtFAFZ1","R-All-HVAC-ER-All-All-E",IF(Segmented!R395="ResSpHtBBZ1","R-All-HVAC-Zonal-All-All-E","R-All-HVAC-ASHP-All-All-E")))</f>
        <v/>
      </c>
      <c r="Q73" t="s">
        <v>172</v>
      </c>
    </row>
    <row r="74" spans="1:17">
      <c r="A74" t="str">
        <f>CONCATENATE(Segmented!A396," ",Segmented!C396)</f>
        <v>Manufactured Tier2_indor2_hp85</v>
      </c>
      <c r="B74" t="str">
        <f>Segmented!D396</f>
        <v>DHWkwh</v>
      </c>
      <c r="C74" s="41">
        <f>IF(Segmented!E396=0,0.00001,Segmented!E396)</f>
        <v>89.067288335771607</v>
      </c>
      <c r="D74">
        <f>Segmented!F396</f>
        <v>13</v>
      </c>
      <c r="E74">
        <f>Segmented!G396</f>
        <v>1183.5005381933265</v>
      </c>
      <c r="F74">
        <f>Segmented!H396</f>
        <v>0</v>
      </c>
      <c r="G74" t="str">
        <f>IF(Segmented!I396="ResDHW","R-All-WH-WHConvert-All-All-N",IF(Segmented!I396="ResSPHtFAFZ1","R-All-HVAC-ER-All-All-E",IF(Segmented!I396="ResSpHtBBZ1","R-All-HVAC-Zonal-All-All-E","R-All-HVAC-CAC-All-All-E")))</f>
        <v>R-All-WH-WHConvert-All-All-N</v>
      </c>
      <c r="H74">
        <f>Segmented!J396</f>
        <v>-0.38085603775483751</v>
      </c>
      <c r="I74">
        <f>Segmented!K396</f>
        <v>0</v>
      </c>
      <c r="J74">
        <f>Segmented!L396</f>
        <v>0</v>
      </c>
      <c r="K74">
        <f>Segmented!M396</f>
        <v>0</v>
      </c>
      <c r="L74">
        <f>Segmented!N396</f>
        <v>0</v>
      </c>
      <c r="M74">
        <f>Segmented!O396</f>
        <v>0</v>
      </c>
      <c r="N74">
        <f>Segmented!P396</f>
        <v>0</v>
      </c>
      <c r="O74">
        <f>Segmented!Q396</f>
        <v>0</v>
      </c>
      <c r="P74" t="str">
        <f>IF(O74=0,Segmented!R396,IF(Segmented!R396="ResSPHtFAFZ1","R-All-HVAC-ER-All-All-E",IF(Segmented!R396="ResSpHtBBZ1","R-All-HVAC-Zonal-All-All-E","R-All-HVAC-ASHP-All-All-E")))</f>
        <v/>
      </c>
      <c r="Q74" t="s">
        <v>172</v>
      </c>
    </row>
    <row r="75" spans="1:17">
      <c r="A75" t="str">
        <f>CONCATENATE(Segmented!A397," ",Segmented!C397)</f>
        <v>Manufactured Tier2_indor2_hp85</v>
      </c>
      <c r="B75" t="str">
        <f>Segmented!D397</f>
        <v>Heatkwh</v>
      </c>
      <c r="C75" s="41">
        <f>IF(Segmented!E397=0,0.00001,Segmented!E397)</f>
        <v>-37.798559991420248</v>
      </c>
      <c r="D75">
        <f>Segmented!F397</f>
        <v>13</v>
      </c>
      <c r="E75">
        <f>Segmented!G397</f>
        <v>0</v>
      </c>
      <c r="F75">
        <f>Segmented!H397</f>
        <v>0</v>
      </c>
      <c r="G75" t="str">
        <f>IF(Segmented!I397="ResDHW","R-All-WH-WHConvert-All-All-N",IF(Segmented!I397="ResSPHtFAFZ1","R-All-HVAC-ER-All-All-E",IF(Segmented!I397="ResSpHtBBZ1","R-All-HVAC-Zonal-All-All-E","R-All-HVAC-CAC-All-All-E")))</f>
        <v>R-All-HVAC-CAC-All-All-E</v>
      </c>
      <c r="H75">
        <f>Segmented!J397</f>
        <v>-0.38085603775483751</v>
      </c>
      <c r="I75">
        <f>Segmented!K397</f>
        <v>0</v>
      </c>
      <c r="J75">
        <f>Segmented!L397</f>
        <v>0</v>
      </c>
      <c r="K75">
        <f>Segmented!M397</f>
        <v>0</v>
      </c>
      <c r="L75">
        <f>Segmented!N397</f>
        <v>0</v>
      </c>
      <c r="M75">
        <f>Segmented!O397</f>
        <v>0</v>
      </c>
      <c r="N75">
        <f>Segmented!P397</f>
        <v>0</v>
      </c>
      <c r="O75">
        <f>Segmented!Q397</f>
        <v>-6.3582610676235357E-2</v>
      </c>
      <c r="P75" t="str">
        <f>IF(O75=0,Segmented!R397,IF(Segmented!R397="ResSPHtFAFZ1","R-All-HVAC-ER-All-All-E",IF(Segmented!R397="ResSpHtBBZ1","R-All-HVAC-Zonal-All-All-E","R-All-HVAC-ASHP-All-All-E")))</f>
        <v>R-All-HVAC-ASHP-All-All-E</v>
      </c>
      <c r="Q75" t="s">
        <v>172</v>
      </c>
    </row>
    <row r="76" spans="1:17">
      <c r="A76" t="str">
        <f>CONCATENATE(Segmented!A398," ",Segmented!C398)</f>
        <v>Manufactured Tier2_indor2_hp85</v>
      </c>
      <c r="B76" t="str">
        <f>Segmented!D398</f>
        <v>Coolkwh</v>
      </c>
      <c r="C76" s="41">
        <f>IF(Segmented!E398=0,0.00001,Segmented!E398)</f>
        <v>-4.6926115042254066</v>
      </c>
      <c r="D76">
        <f>Segmented!F398</f>
        <v>13</v>
      </c>
      <c r="E76">
        <f>Segmented!G398</f>
        <v>0</v>
      </c>
      <c r="F76">
        <f>Segmented!H398</f>
        <v>0</v>
      </c>
      <c r="G76" t="str">
        <f>IF(Segmented!I398="ResDHW","R-All-WH-WHConvert-All-All-N",IF(Segmented!I398="ResSPHtFAFZ1","R-All-HVAC-ER-All-All-E",IF(Segmented!I398="ResSpHtBBZ1","R-All-HVAC-Zonal-All-All-E","R-All-HVAC-CAC-All-All-E")))</f>
        <v>R-All-HVAC-CAC-All-All-E</v>
      </c>
      <c r="H76">
        <f>Segmented!J398</f>
        <v>-0.38085603775483751</v>
      </c>
      <c r="I76">
        <f>Segmented!K398</f>
        <v>0</v>
      </c>
      <c r="J76">
        <f>Segmented!L398</f>
        <v>0</v>
      </c>
      <c r="K76">
        <f>Segmented!M398</f>
        <v>0</v>
      </c>
      <c r="L76">
        <f>Segmented!N398</f>
        <v>0</v>
      </c>
      <c r="M76">
        <f>Segmented!O398</f>
        <v>0</v>
      </c>
      <c r="N76">
        <f>Segmented!P398</f>
        <v>0</v>
      </c>
      <c r="O76">
        <f>Segmented!Q398</f>
        <v>0</v>
      </c>
      <c r="P76" t="str">
        <f>IF(O76=0,Segmented!R398,IF(Segmented!R398="ResSPHtFAFZ1","R-All-HVAC-ER-All-All-E",IF(Segmented!R398="ResSpHtBBZ1","R-All-HVAC-Zonal-All-All-E","R-All-HVAC-ASHP-All-All-E")))</f>
        <v/>
      </c>
      <c r="Q76" t="s">
        <v>172</v>
      </c>
    </row>
    <row r="77" spans="1:17">
      <c r="A77" t="str">
        <f>CONCATENATE(Segmented!A399," ",Segmented!C399)</f>
        <v>Manufactured Tier2_indor2_zonl</v>
      </c>
      <c r="B77" t="str">
        <f>Segmented!D399</f>
        <v>DHWkwh</v>
      </c>
      <c r="C77" s="41">
        <f>IF(Segmented!E399=0,0.00001,Segmented!E399)</f>
        <v>83.315518898270511</v>
      </c>
      <c r="D77">
        <f>Segmented!F399</f>
        <v>13</v>
      </c>
      <c r="E77">
        <f>Segmented!G399</f>
        <v>1183.5005381933265</v>
      </c>
      <c r="F77">
        <f>Segmented!H399</f>
        <v>0</v>
      </c>
      <c r="G77" t="str">
        <f>IF(Segmented!I399="ResDHW","R-All-WH-WHConvert-All-All-N",IF(Segmented!I399="ResSPHtFAFZ1","R-All-HVAC-ER-All-All-E",IF(Segmented!I399="ResSpHtBBZ1","R-All-HVAC-Zonal-All-All-E","R-All-HVAC-CAC-All-All-E")))</f>
        <v>R-All-WH-WHConvert-All-All-N</v>
      </c>
      <c r="H77">
        <f>Segmented!J399</f>
        <v>-0.53073712762676406</v>
      </c>
      <c r="I77">
        <f>Segmented!K399</f>
        <v>0</v>
      </c>
      <c r="J77">
        <f>Segmented!L399</f>
        <v>0</v>
      </c>
      <c r="K77">
        <f>Segmented!M399</f>
        <v>0</v>
      </c>
      <c r="L77">
        <f>Segmented!N399</f>
        <v>0</v>
      </c>
      <c r="M77">
        <f>Segmented!O399</f>
        <v>0</v>
      </c>
      <c r="N77">
        <f>Segmented!P399</f>
        <v>0</v>
      </c>
      <c r="O77">
        <f>Segmented!Q399</f>
        <v>0</v>
      </c>
      <c r="P77" t="str">
        <f>IF(O77=0,Segmented!R399,IF(Segmented!R399="ResSPHtFAFZ1","R-All-HVAC-ER-All-All-E",IF(Segmented!R399="ResSpHtBBZ1","R-All-HVAC-Zonal-All-All-E","R-All-HVAC-ASHP-All-All-E")))</f>
        <v/>
      </c>
      <c r="Q77" t="s">
        <v>172</v>
      </c>
    </row>
    <row r="78" spans="1:17">
      <c r="A78" t="str">
        <f>CONCATENATE(Segmented!A400," ",Segmented!C400)</f>
        <v>Manufactured Tier2_indor2_zonl</v>
      </c>
      <c r="B78" t="str">
        <f>Segmented!D400</f>
        <v>Heatkwh</v>
      </c>
      <c r="C78" s="41">
        <f>IF(Segmented!E400=0,0.00001,Segmented!E400)</f>
        <v>-52.599092392966213</v>
      </c>
      <c r="D78">
        <f>Segmented!F400</f>
        <v>13</v>
      </c>
      <c r="E78">
        <f>Segmented!G400</f>
        <v>0</v>
      </c>
      <c r="F78">
        <f>Segmented!H400</f>
        <v>0</v>
      </c>
      <c r="G78" t="str">
        <f>IF(Segmented!I400="ResDHW","R-All-WH-WHConvert-All-All-N",IF(Segmented!I400="ResSPHtFAFZ1","R-All-HVAC-ER-All-All-E",IF(Segmented!I400="ResSpHtBBZ1","R-All-HVAC-Zonal-All-All-E","R-All-HVAC-CAC-All-All-E")))</f>
        <v>R-All-HVAC-Zonal-All-All-E</v>
      </c>
      <c r="H78">
        <f>Segmented!J400</f>
        <v>-0.53073712762676406</v>
      </c>
      <c r="I78">
        <f>Segmented!K400</f>
        <v>0</v>
      </c>
      <c r="J78">
        <f>Segmented!L400</f>
        <v>0</v>
      </c>
      <c r="K78">
        <f>Segmented!M400</f>
        <v>0</v>
      </c>
      <c r="L78">
        <f>Segmented!N400</f>
        <v>0</v>
      </c>
      <c r="M78">
        <f>Segmented!O400</f>
        <v>0</v>
      </c>
      <c r="N78">
        <f>Segmented!P400</f>
        <v>0</v>
      </c>
      <c r="O78">
        <f>Segmented!Q400</f>
        <v>-9.5289969558249615E-2</v>
      </c>
      <c r="P78" t="str">
        <f>IF(O78=0,Segmented!R400,IF(Segmented!R400="ResSPHtFAFZ1","R-All-HVAC-ER-All-All-E",IF(Segmented!R400="ResSpHtBBZ1","R-All-HVAC-Zonal-All-All-E","R-All-HVAC-ASHP-All-All-E")))</f>
        <v>R-All-HVAC-Zonal-All-All-E</v>
      </c>
      <c r="Q78" t="s">
        <v>172</v>
      </c>
    </row>
    <row r="79" spans="1:17">
      <c r="A79" t="str">
        <f>CONCATENATE(Segmented!A401," ",Segmented!C401)</f>
        <v>Manufactured Tier2_indor2_zonl</v>
      </c>
      <c r="B79" t="str">
        <f>Segmented!D401</f>
        <v>Coolkwh</v>
      </c>
      <c r="C79" s="41">
        <f>IF(Segmented!E401=0,0.00001,Segmented!E401)</f>
        <v>1.0000000000000001E-5</v>
      </c>
      <c r="D79">
        <f>Segmented!F401</f>
        <v>13</v>
      </c>
      <c r="E79">
        <f>Segmented!G401</f>
        <v>0</v>
      </c>
      <c r="F79">
        <f>Segmented!H401</f>
        <v>0</v>
      </c>
      <c r="G79" t="str">
        <f>IF(Segmented!I401="ResDHW","R-All-WH-WHConvert-All-All-N",IF(Segmented!I401="ResSPHtFAFZ1","R-All-HVAC-ER-All-All-E",IF(Segmented!I401="ResSpHtBBZ1","R-All-HVAC-Zonal-All-All-E","R-All-HVAC-CAC-All-All-E")))</f>
        <v>R-All-HVAC-CAC-All-All-E</v>
      </c>
      <c r="H79">
        <f>Segmented!J401</f>
        <v>-0.53073712762676406</v>
      </c>
      <c r="I79">
        <f>Segmented!K401</f>
        <v>0</v>
      </c>
      <c r="J79">
        <f>Segmented!L401</f>
        <v>0</v>
      </c>
      <c r="K79">
        <f>Segmented!M401</f>
        <v>0</v>
      </c>
      <c r="L79">
        <f>Segmented!N401</f>
        <v>0</v>
      </c>
      <c r="M79">
        <f>Segmented!O401</f>
        <v>0</v>
      </c>
      <c r="N79">
        <f>Segmented!P401</f>
        <v>0</v>
      </c>
      <c r="O79">
        <f>Segmented!Q401</f>
        <v>0</v>
      </c>
      <c r="P79" t="str">
        <f>IF(O79=0,Segmented!R401,IF(Segmented!R401="ResSPHtFAFZ1","R-All-HVAC-ER-All-All-E",IF(Segmented!R401="ResSpHtBBZ1","R-All-HVAC-Zonal-All-All-E","R-All-HVAC-ASHP-All-All-E")))</f>
        <v/>
      </c>
      <c r="Q79" t="s">
        <v>172</v>
      </c>
    </row>
    <row r="82" spans="1:13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88" t="s">
        <v>175</v>
      </c>
      <c r="B83" s="89"/>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t="s">
        <v>176</v>
      </c>
      <c r="B84" s="7" t="s">
        <v>177</v>
      </c>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c r="A85" s="7" t="s">
        <v>178</v>
      </c>
      <c r="B85" s="7" t="s">
        <v>587</v>
      </c>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ht="13.5" thickBot="1">
      <c r="A87" s="27" t="s">
        <v>179</v>
      </c>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28"/>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c r="B88" s="91" t="s">
        <v>180</v>
      </c>
      <c r="C88" s="92"/>
      <c r="D88" s="92" t="s">
        <v>180</v>
      </c>
      <c r="E88" s="93"/>
      <c r="F88" s="7"/>
      <c r="G88" s="91" t="s">
        <v>181</v>
      </c>
      <c r="H88" s="92"/>
      <c r="I88" s="92"/>
      <c r="J88" s="92"/>
      <c r="K88" s="92"/>
      <c r="L88" s="92"/>
      <c r="M88" s="92"/>
      <c r="N88" s="92"/>
      <c r="O88" s="93"/>
      <c r="P88" s="7"/>
      <c r="Q88" s="91" t="s">
        <v>182</v>
      </c>
      <c r="R88" s="92"/>
      <c r="S88" s="92"/>
      <c r="T88" s="92"/>
      <c r="U88" s="93"/>
      <c r="V88" s="7"/>
      <c r="W88" s="91" t="s">
        <v>183</v>
      </c>
      <c r="X88" s="93"/>
      <c r="Y88" s="7"/>
      <c r="Z88" s="91" t="s">
        <v>184</v>
      </c>
      <c r="AA88" s="92"/>
      <c r="AB88" s="93"/>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c r="B89" s="94" t="s">
        <v>185</v>
      </c>
      <c r="C89" s="95" t="s">
        <v>186</v>
      </c>
      <c r="D89" s="95" t="s">
        <v>185</v>
      </c>
      <c r="E89" s="96" t="s">
        <v>186</v>
      </c>
      <c r="F89" s="7"/>
      <c r="G89" s="94" t="s">
        <v>187</v>
      </c>
      <c r="H89" s="95" t="s">
        <v>556</v>
      </c>
      <c r="I89" s="95"/>
      <c r="J89" s="95"/>
      <c r="K89" s="95" t="s">
        <v>188</v>
      </c>
      <c r="L89" s="95"/>
      <c r="M89" s="95"/>
      <c r="N89" s="95"/>
      <c r="O89" s="96"/>
      <c r="P89" s="7"/>
      <c r="Q89" s="94"/>
      <c r="R89" s="95" t="s">
        <v>189</v>
      </c>
      <c r="S89" s="95" t="s">
        <v>190</v>
      </c>
      <c r="T89" s="95" t="s">
        <v>191</v>
      </c>
      <c r="U89" s="96" t="s">
        <v>192</v>
      </c>
      <c r="V89" s="7"/>
      <c r="W89" s="94" t="s">
        <v>193</v>
      </c>
      <c r="X89" s="96">
        <v>20</v>
      </c>
      <c r="Y89" s="7"/>
      <c r="Z89" s="94"/>
      <c r="AA89" s="95" t="s">
        <v>186</v>
      </c>
      <c r="AB89" s="96" t="s">
        <v>194</v>
      </c>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c r="B90" s="94" t="s">
        <v>195</v>
      </c>
      <c r="C90" s="95" t="s">
        <v>196</v>
      </c>
      <c r="D90" s="95" t="s">
        <v>195</v>
      </c>
      <c r="E90" s="96" t="s">
        <v>196</v>
      </c>
      <c r="F90" s="7"/>
      <c r="G90" s="94" t="s">
        <v>197</v>
      </c>
      <c r="H90" s="95" t="s">
        <v>198</v>
      </c>
      <c r="I90" s="95"/>
      <c r="J90" s="95"/>
      <c r="K90" s="95" t="s">
        <v>199</v>
      </c>
      <c r="L90" s="95"/>
      <c r="M90" s="95"/>
      <c r="N90" s="95"/>
      <c r="O90" s="96"/>
      <c r="P90" s="7"/>
      <c r="Q90" s="94" t="s">
        <v>200</v>
      </c>
      <c r="R90" s="95">
        <v>4.3096045197740109E-2</v>
      </c>
      <c r="S90" s="95">
        <v>4.387844424080023E-2</v>
      </c>
      <c r="T90" s="95">
        <v>5.3289007766645871E-2</v>
      </c>
      <c r="U90" s="96">
        <v>5.447903102274565E-2</v>
      </c>
      <c r="V90" s="7"/>
      <c r="W90" s="94" t="s">
        <v>201</v>
      </c>
      <c r="X90" s="96">
        <v>2016</v>
      </c>
      <c r="Y90" s="7"/>
      <c r="Z90" s="94" t="s">
        <v>202</v>
      </c>
      <c r="AA90" s="95">
        <v>4.03890184699085E-3</v>
      </c>
      <c r="AB90" s="96">
        <v>0.01</v>
      </c>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c r="A91" s="7"/>
      <c r="B91" s="94" t="s">
        <v>203</v>
      </c>
      <c r="C91" s="95" t="s">
        <v>204</v>
      </c>
      <c r="D91" s="95" t="s">
        <v>203</v>
      </c>
      <c r="E91" s="96" t="s">
        <v>204</v>
      </c>
      <c r="F91" s="7"/>
      <c r="G91" s="94" t="s">
        <v>205</v>
      </c>
      <c r="H91" s="95" t="s">
        <v>206</v>
      </c>
      <c r="I91" s="95"/>
      <c r="J91" s="95"/>
      <c r="K91" s="95" t="s">
        <v>207</v>
      </c>
      <c r="L91" s="95"/>
      <c r="M91" s="95"/>
      <c r="N91" s="95"/>
      <c r="O91" s="96"/>
      <c r="P91" s="7"/>
      <c r="Q91" s="94" t="s">
        <v>208</v>
      </c>
      <c r="R91" s="95">
        <v>12</v>
      </c>
      <c r="S91" s="95">
        <v>12</v>
      </c>
      <c r="T91" s="95">
        <v>1</v>
      </c>
      <c r="U91" s="96">
        <v>1</v>
      </c>
      <c r="V91" s="7"/>
      <c r="W91" s="94" t="s">
        <v>209</v>
      </c>
      <c r="X91" s="96">
        <v>2016</v>
      </c>
      <c r="Y91" s="7"/>
      <c r="Z91" s="94" t="s">
        <v>210</v>
      </c>
      <c r="AA91" s="95">
        <v>26</v>
      </c>
      <c r="AB91" s="96">
        <v>0</v>
      </c>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ht="13.5" thickBot="1">
      <c r="A92" s="7"/>
      <c r="B92" s="97" t="s">
        <v>211</v>
      </c>
      <c r="C92" s="98" t="s">
        <v>204</v>
      </c>
      <c r="D92" s="98" t="s">
        <v>211</v>
      </c>
      <c r="E92" s="99" t="s">
        <v>204</v>
      </c>
      <c r="F92" s="7"/>
      <c r="G92" s="94" t="s">
        <v>212</v>
      </c>
      <c r="H92" s="95" t="s">
        <v>213</v>
      </c>
      <c r="I92" s="95"/>
      <c r="J92" s="95"/>
      <c r="K92" s="95" t="s">
        <v>199</v>
      </c>
      <c r="L92" s="95"/>
      <c r="M92" s="95"/>
      <c r="N92" s="95"/>
      <c r="O92" s="96"/>
      <c r="P92" s="7"/>
      <c r="Q92" s="94"/>
      <c r="R92" s="95" t="s">
        <v>189</v>
      </c>
      <c r="S92" s="95" t="s">
        <v>190</v>
      </c>
      <c r="T92" s="95" t="s">
        <v>191</v>
      </c>
      <c r="U92" s="96" t="s">
        <v>192</v>
      </c>
      <c r="V92" s="7"/>
      <c r="W92" s="94" t="s">
        <v>214</v>
      </c>
      <c r="X92" s="96">
        <v>2012</v>
      </c>
      <c r="Y92" s="7"/>
      <c r="Z92" s="94" t="s">
        <v>215</v>
      </c>
      <c r="AA92" s="95">
        <v>0.9</v>
      </c>
      <c r="AB92" s="96" t="s">
        <v>216</v>
      </c>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c r="A93" s="7"/>
      <c r="B93" s="7"/>
      <c r="C93" s="7"/>
      <c r="D93" s="7"/>
      <c r="E93" s="7"/>
      <c r="F93" s="7"/>
      <c r="G93" s="94" t="s">
        <v>217</v>
      </c>
      <c r="H93" s="95" t="s">
        <v>206</v>
      </c>
      <c r="I93" s="95"/>
      <c r="J93" s="95"/>
      <c r="K93" s="95"/>
      <c r="L93" s="95"/>
      <c r="M93" s="95"/>
      <c r="N93" s="95"/>
      <c r="O93" s="96"/>
      <c r="P93" s="7"/>
      <c r="Q93" s="94" t="s">
        <v>218</v>
      </c>
      <c r="R93" s="95">
        <v>0.35</v>
      </c>
      <c r="S93" s="95">
        <v>0.19500000000000001</v>
      </c>
      <c r="T93" s="95">
        <v>0.45499999999999996</v>
      </c>
      <c r="U93" s="96">
        <v>0</v>
      </c>
      <c r="V93" s="7"/>
      <c r="W93" s="94" t="s">
        <v>219</v>
      </c>
      <c r="X93" s="96">
        <v>0.04</v>
      </c>
      <c r="Y93" s="7"/>
      <c r="Z93" s="94" t="s">
        <v>220</v>
      </c>
      <c r="AA93" s="95">
        <v>4.7399348199455904E-2</v>
      </c>
      <c r="AB93" s="96">
        <v>0</v>
      </c>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c r="A94" s="7"/>
      <c r="B94" s="7" t="s">
        <v>221</v>
      </c>
      <c r="C94" s="7" t="s">
        <v>186</v>
      </c>
      <c r="D94" s="7"/>
      <c r="E94" s="7"/>
      <c r="F94" s="7"/>
      <c r="G94" s="94" t="s">
        <v>222</v>
      </c>
      <c r="H94" s="95" t="s">
        <v>223</v>
      </c>
      <c r="I94" s="95"/>
      <c r="J94" s="95"/>
      <c r="K94" s="95" t="s">
        <v>224</v>
      </c>
      <c r="L94" s="95"/>
      <c r="M94" s="95"/>
      <c r="N94" s="95"/>
      <c r="O94" s="96"/>
      <c r="P94" s="7"/>
      <c r="Q94" s="94" t="s">
        <v>225</v>
      </c>
      <c r="R94" s="95">
        <v>1</v>
      </c>
      <c r="S94" s="95">
        <v>0</v>
      </c>
      <c r="T94" s="95">
        <v>0</v>
      </c>
      <c r="U94" s="96">
        <v>0</v>
      </c>
      <c r="V94" s="7"/>
      <c r="W94" s="94" t="s">
        <v>226</v>
      </c>
      <c r="X94" s="96">
        <v>0</v>
      </c>
      <c r="Y94" s="7"/>
      <c r="Z94" s="94" t="s">
        <v>227</v>
      </c>
      <c r="AA94" s="95">
        <v>31</v>
      </c>
      <c r="AB94" s="96">
        <v>0</v>
      </c>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c r="A95" s="7"/>
      <c r="B95" s="7" t="s">
        <v>228</v>
      </c>
      <c r="C95" s="7" t="s">
        <v>229</v>
      </c>
      <c r="D95" s="7"/>
      <c r="E95" s="7"/>
      <c r="F95" s="7"/>
      <c r="G95" s="94" t="s">
        <v>230</v>
      </c>
      <c r="H95" s="95" t="s">
        <v>224</v>
      </c>
      <c r="I95" s="95"/>
      <c r="J95" s="95"/>
      <c r="K95" s="95" t="s">
        <v>231</v>
      </c>
      <c r="L95" s="95"/>
      <c r="M95" s="95"/>
      <c r="N95" s="95"/>
      <c r="O95" s="96"/>
      <c r="P95" s="7"/>
      <c r="Q95" s="94" t="s">
        <v>232</v>
      </c>
      <c r="R95" s="95">
        <v>1</v>
      </c>
      <c r="S95" s="95">
        <v>0</v>
      </c>
      <c r="T95" s="95">
        <v>0</v>
      </c>
      <c r="U95" s="96">
        <v>0</v>
      </c>
      <c r="V95" s="7"/>
      <c r="W95" s="94" t="s">
        <v>233</v>
      </c>
      <c r="X95" s="96">
        <v>0.2</v>
      </c>
      <c r="Y95" s="7"/>
      <c r="Z95" s="94" t="s">
        <v>234</v>
      </c>
      <c r="AA95" s="95">
        <v>0.7</v>
      </c>
      <c r="AB95" s="96" t="s">
        <v>216</v>
      </c>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c r="B96" s="7" t="s">
        <v>235</v>
      </c>
      <c r="C96" s="7" t="s">
        <v>236</v>
      </c>
      <c r="D96" s="7"/>
      <c r="E96" s="7"/>
      <c r="F96" s="7"/>
      <c r="G96" s="94" t="s">
        <v>237</v>
      </c>
      <c r="H96" s="95" t="s">
        <v>231</v>
      </c>
      <c r="I96" s="95"/>
      <c r="J96" s="95"/>
      <c r="K96" s="95" t="s">
        <v>238</v>
      </c>
      <c r="L96" s="95"/>
      <c r="M96" s="95"/>
      <c r="N96" s="95"/>
      <c r="O96" s="96"/>
      <c r="P96" s="7"/>
      <c r="Q96" s="94" t="s">
        <v>239</v>
      </c>
      <c r="R96" s="95"/>
      <c r="S96" s="95">
        <v>0.3</v>
      </c>
      <c r="T96" s="95">
        <v>0.7</v>
      </c>
      <c r="U96" s="96">
        <v>0</v>
      </c>
      <c r="V96" s="7"/>
      <c r="W96" s="94" t="s">
        <v>240</v>
      </c>
      <c r="X96" s="96">
        <v>0</v>
      </c>
      <c r="Y96" s="7"/>
      <c r="Z96" s="94" t="s">
        <v>241</v>
      </c>
      <c r="AA96" s="95">
        <v>0</v>
      </c>
      <c r="AB96" s="96">
        <v>0</v>
      </c>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ht="13.5" thickBot="1">
      <c r="A97" s="7"/>
      <c r="B97" s="7" t="s">
        <v>242</v>
      </c>
      <c r="C97" s="7" t="s">
        <v>243</v>
      </c>
      <c r="D97" s="7"/>
      <c r="E97" s="7"/>
      <c r="F97" s="7"/>
      <c r="G97" s="97" t="s">
        <v>244</v>
      </c>
      <c r="H97" s="98" t="s">
        <v>238</v>
      </c>
      <c r="I97" s="98"/>
      <c r="J97" s="98"/>
      <c r="K97" s="98"/>
      <c r="L97" s="98"/>
      <c r="M97" s="98"/>
      <c r="N97" s="98"/>
      <c r="O97" s="99"/>
      <c r="P97" s="7"/>
      <c r="Q97" s="97" t="s">
        <v>245</v>
      </c>
      <c r="R97" s="98"/>
      <c r="S97" s="98">
        <v>20</v>
      </c>
      <c r="T97" s="98"/>
      <c r="U97" s="99"/>
      <c r="V97" s="7"/>
      <c r="W97" s="97" t="s">
        <v>246</v>
      </c>
      <c r="X97" s="99">
        <v>2018</v>
      </c>
      <c r="Y97" s="7"/>
      <c r="Z97" s="97" t="s">
        <v>247</v>
      </c>
      <c r="AA97" s="98">
        <v>0</v>
      </c>
      <c r="AB97" s="99">
        <v>0</v>
      </c>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row r="101" spans="1:13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row>
    <row r="102" spans="1:13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row>
    <row r="103" spans="1:13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row>
    <row r="104" spans="1:13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row>
    <row r="105" spans="1:131" ht="13.5" thickBot="1">
      <c r="A105" s="27" t="s">
        <v>248</v>
      </c>
      <c r="B105" s="28"/>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row>
    <row r="106" spans="1:131" ht="26.25" thickBot="1">
      <c r="A106" s="100" t="s">
        <v>249</v>
      </c>
      <c r="B106" s="101"/>
      <c r="C106" s="102" t="s">
        <v>250</v>
      </c>
      <c r="D106" s="103"/>
      <c r="E106" s="103"/>
      <c r="F106" s="103"/>
      <c r="G106" s="103"/>
      <c r="H106" s="103"/>
      <c r="I106" s="103"/>
      <c r="J106" s="103"/>
      <c r="K106" s="104"/>
      <c r="L106" s="102" t="s">
        <v>251</v>
      </c>
      <c r="M106" s="103"/>
      <c r="N106" s="103"/>
      <c r="O106" s="103"/>
      <c r="P106" s="103"/>
      <c r="Q106" s="104"/>
      <c r="R106" s="102" t="s">
        <v>252</v>
      </c>
      <c r="S106" s="103"/>
      <c r="T106" s="103"/>
      <c r="U106" s="104"/>
      <c r="V106" s="102" t="s">
        <v>253</v>
      </c>
      <c r="W106" s="103"/>
      <c r="X106" s="103"/>
      <c r="Y106" s="104"/>
      <c r="Z106" s="102" t="s">
        <v>254</v>
      </c>
      <c r="AA106" s="103"/>
      <c r="AB106" s="103"/>
      <c r="AC106" s="104"/>
      <c r="AD106" s="102" t="s">
        <v>255</v>
      </c>
      <c r="AE106" s="103"/>
      <c r="AF106" s="103"/>
      <c r="AG106" s="104"/>
      <c r="AH106" s="102" t="s">
        <v>256</v>
      </c>
      <c r="AI106" s="103"/>
      <c r="AJ106" s="103"/>
      <c r="AK106" s="103"/>
      <c r="AL106" s="104"/>
      <c r="AM106" s="102" t="s">
        <v>257</v>
      </c>
      <c r="AN106" s="103"/>
      <c r="AO106" s="103"/>
      <c r="AP106" s="103"/>
      <c r="AQ106" s="103"/>
      <c r="AR106" s="103"/>
      <c r="AS106" s="104"/>
      <c r="AT106" s="102" t="s">
        <v>258</v>
      </c>
      <c r="AU106" s="103"/>
      <c r="AV106" s="103"/>
      <c r="AW106" s="103"/>
      <c r="AX106" s="103"/>
      <c r="AY106" s="103"/>
      <c r="AZ106" s="104"/>
      <c r="BA106" s="102" t="s">
        <v>259</v>
      </c>
      <c r="BB106" s="103"/>
      <c r="BC106" s="103"/>
      <c r="BD106" s="103"/>
      <c r="BE106" s="103"/>
      <c r="BF106" s="104"/>
      <c r="BG106" s="102" t="s">
        <v>260</v>
      </c>
      <c r="BH106" s="104"/>
      <c r="BI106" s="102" t="s">
        <v>261</v>
      </c>
      <c r="BJ106" s="103"/>
      <c r="BK106" s="103"/>
      <c r="BL106" s="103"/>
      <c r="BM106" s="104"/>
      <c r="BN106" s="102" t="s">
        <v>262</v>
      </c>
      <c r="BO106" s="103"/>
      <c r="BP106" s="103"/>
      <c r="BQ106" s="103"/>
      <c r="BR106" s="103"/>
      <c r="BS106" s="103"/>
      <c r="BT106" s="103"/>
      <c r="BU106" s="103"/>
      <c r="BV106" s="103"/>
      <c r="BW106" s="103"/>
      <c r="BX106" s="103"/>
      <c r="BY106" s="103"/>
      <c r="BZ106" s="103"/>
      <c r="CA106" s="103"/>
      <c r="CB106" s="103"/>
      <c r="CC106" s="104"/>
      <c r="CD106" s="102" t="s">
        <v>263</v>
      </c>
      <c r="CE106" s="104"/>
      <c r="CF106" s="102" t="s">
        <v>264</v>
      </c>
      <c r="CG106" s="103"/>
      <c r="CH106" s="103"/>
      <c r="CI106" s="103"/>
      <c r="CJ106" s="103"/>
      <c r="CK106" s="104"/>
      <c r="CL106" s="105"/>
      <c r="CM106" s="102" t="s">
        <v>5</v>
      </c>
      <c r="CN106" s="103"/>
      <c r="CO106" s="103"/>
      <c r="CP106" s="104"/>
      <c r="CQ106" s="102" t="s">
        <v>265</v>
      </c>
      <c r="CR106" s="103"/>
      <c r="CS106" s="103"/>
      <c r="CT106" s="103"/>
      <c r="CU106" s="104"/>
      <c r="CV106" s="102" t="s">
        <v>266</v>
      </c>
      <c r="CW106" s="104"/>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row>
    <row r="107" spans="1:131" ht="204">
      <c r="A107" s="30" t="s">
        <v>21</v>
      </c>
      <c r="B107" s="31" t="s">
        <v>22</v>
      </c>
      <c r="C107" s="32" t="s">
        <v>149</v>
      </c>
      <c r="D107" s="32" t="s">
        <v>267</v>
      </c>
      <c r="E107" s="32" t="s">
        <v>268</v>
      </c>
      <c r="F107" s="32" t="s">
        <v>269</v>
      </c>
      <c r="G107" s="32" t="s">
        <v>270</v>
      </c>
      <c r="H107" s="32" t="s">
        <v>271</v>
      </c>
      <c r="I107" s="32" t="s">
        <v>272</v>
      </c>
      <c r="J107" s="32" t="s">
        <v>273</v>
      </c>
      <c r="K107" s="32" t="s">
        <v>274</v>
      </c>
      <c r="L107" s="32" t="s">
        <v>275</v>
      </c>
      <c r="M107" s="32" t="s">
        <v>276</v>
      </c>
      <c r="N107" s="32" t="s">
        <v>277</v>
      </c>
      <c r="O107" s="32" t="s">
        <v>278</v>
      </c>
      <c r="P107" s="32" t="s">
        <v>279</v>
      </c>
      <c r="Q107" s="32" t="s">
        <v>280</v>
      </c>
      <c r="R107" s="32" t="s">
        <v>281</v>
      </c>
      <c r="S107" s="32" t="s">
        <v>282</v>
      </c>
      <c r="T107" s="32" t="s">
        <v>283</v>
      </c>
      <c r="U107" s="32" t="s">
        <v>189</v>
      </c>
      <c r="V107" s="32" t="s">
        <v>281</v>
      </c>
      <c r="W107" s="32" t="s">
        <v>282</v>
      </c>
      <c r="X107" s="32" t="s">
        <v>283</v>
      </c>
      <c r="Y107" s="32" t="s">
        <v>189</v>
      </c>
      <c r="Z107" s="32" t="s">
        <v>281</v>
      </c>
      <c r="AA107" s="32" t="s">
        <v>282</v>
      </c>
      <c r="AB107" s="32" t="s">
        <v>283</v>
      </c>
      <c r="AC107" s="32" t="s">
        <v>189</v>
      </c>
      <c r="AD107" s="32" t="s">
        <v>281</v>
      </c>
      <c r="AE107" s="32" t="s">
        <v>282</v>
      </c>
      <c r="AF107" s="32" t="s">
        <v>283</v>
      </c>
      <c r="AG107" s="32" t="s">
        <v>189</v>
      </c>
      <c r="AH107" s="32" t="s">
        <v>281</v>
      </c>
      <c r="AI107" s="32" t="s">
        <v>282</v>
      </c>
      <c r="AJ107" s="32" t="s">
        <v>283</v>
      </c>
      <c r="AK107" s="32" t="s">
        <v>189</v>
      </c>
      <c r="AL107" s="32" t="s">
        <v>284</v>
      </c>
      <c r="AM107" s="32" t="s">
        <v>285</v>
      </c>
      <c r="AN107" s="32" t="s">
        <v>286</v>
      </c>
      <c r="AO107" s="32" t="s">
        <v>287</v>
      </c>
      <c r="AP107" s="32" t="s">
        <v>288</v>
      </c>
      <c r="AQ107" s="32" t="s">
        <v>289</v>
      </c>
      <c r="AR107" s="32" t="s">
        <v>290</v>
      </c>
      <c r="AS107" s="32" t="s">
        <v>291</v>
      </c>
      <c r="AT107" s="32" t="s">
        <v>292</v>
      </c>
      <c r="AU107" s="32" t="s">
        <v>293</v>
      </c>
      <c r="AV107" s="32" t="s">
        <v>294</v>
      </c>
      <c r="AW107" s="32" t="s">
        <v>295</v>
      </c>
      <c r="AX107" s="32" t="s">
        <v>296</v>
      </c>
      <c r="AY107" s="32" t="s">
        <v>297</v>
      </c>
      <c r="AZ107" s="32" t="s">
        <v>298</v>
      </c>
      <c r="BA107" s="32" t="s">
        <v>299</v>
      </c>
      <c r="BB107" s="32" t="s">
        <v>300</v>
      </c>
      <c r="BC107" s="32" t="s">
        <v>301</v>
      </c>
      <c r="BD107" s="32" t="s">
        <v>302</v>
      </c>
      <c r="BE107" s="32" t="s">
        <v>303</v>
      </c>
      <c r="BF107" s="32" t="s">
        <v>304</v>
      </c>
      <c r="BG107" s="32" t="s">
        <v>305</v>
      </c>
      <c r="BH107" s="32" t="s">
        <v>306</v>
      </c>
      <c r="BI107" s="32" t="s">
        <v>307</v>
      </c>
      <c r="BJ107" s="32" t="s">
        <v>308</v>
      </c>
      <c r="BK107" s="32" t="s">
        <v>309</v>
      </c>
      <c r="BL107" s="32" t="s">
        <v>310</v>
      </c>
      <c r="BM107" s="32" t="s">
        <v>311</v>
      </c>
      <c r="BN107" s="32" t="s">
        <v>312</v>
      </c>
      <c r="BO107" s="32" t="s">
        <v>313</v>
      </c>
      <c r="BP107" s="32" t="s">
        <v>314</v>
      </c>
      <c r="BQ107" s="32" t="s">
        <v>315</v>
      </c>
      <c r="BR107" s="32" t="s">
        <v>316</v>
      </c>
      <c r="BS107" s="32" t="s">
        <v>317</v>
      </c>
      <c r="BT107" s="32" t="s">
        <v>318</v>
      </c>
      <c r="BU107" s="32" t="s">
        <v>319</v>
      </c>
      <c r="BV107" s="32" t="s">
        <v>320</v>
      </c>
      <c r="BW107" s="32" t="s">
        <v>321</v>
      </c>
      <c r="BX107" s="32" t="s">
        <v>322</v>
      </c>
      <c r="BY107" s="32" t="s">
        <v>323</v>
      </c>
      <c r="BZ107" s="32" t="s">
        <v>324</v>
      </c>
      <c r="CA107" s="32" t="s">
        <v>325</v>
      </c>
      <c r="CB107" s="32" t="s">
        <v>326</v>
      </c>
      <c r="CC107" s="32" t="s">
        <v>327</v>
      </c>
      <c r="CD107" s="32" t="s">
        <v>23</v>
      </c>
      <c r="CE107" s="32" t="s">
        <v>24</v>
      </c>
      <c r="CF107" s="32" t="s">
        <v>328</v>
      </c>
      <c r="CG107" s="32" t="s">
        <v>329</v>
      </c>
      <c r="CH107" s="32" t="s">
        <v>330</v>
      </c>
      <c r="CI107" s="32" t="s">
        <v>331</v>
      </c>
      <c r="CJ107" s="32" t="s">
        <v>332</v>
      </c>
      <c r="CK107" s="32" t="s">
        <v>333</v>
      </c>
      <c r="CL107" s="32"/>
      <c r="CM107" s="32" t="s">
        <v>334</v>
      </c>
      <c r="CN107" s="32" t="s">
        <v>335</v>
      </c>
      <c r="CO107" s="32" t="s">
        <v>336</v>
      </c>
      <c r="CP107" s="32" t="s">
        <v>337</v>
      </c>
      <c r="CQ107" s="32" t="s">
        <v>338</v>
      </c>
      <c r="CR107" s="32" t="s">
        <v>339</v>
      </c>
      <c r="CS107" s="32" t="s">
        <v>340</v>
      </c>
      <c r="CT107" s="32" t="s">
        <v>341</v>
      </c>
      <c r="CU107" s="32" t="s">
        <v>342</v>
      </c>
      <c r="CV107" s="32" t="s">
        <v>343</v>
      </c>
      <c r="CW107" s="106" t="s">
        <v>344</v>
      </c>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row>
    <row r="108" spans="1:131">
      <c r="A108" s="7" t="s">
        <v>471</v>
      </c>
      <c r="B108" s="7" t="s">
        <v>356</v>
      </c>
      <c r="C108" s="29">
        <v>13</v>
      </c>
      <c r="D108" s="29">
        <v>1044.4554410885651</v>
      </c>
      <c r="E108" s="29">
        <v>0</v>
      </c>
      <c r="F108" s="29">
        <v>724.5875237038573</v>
      </c>
      <c r="G108" s="29">
        <v>0</v>
      </c>
      <c r="H108" s="29">
        <v>0</v>
      </c>
      <c r="I108" s="29" t="s">
        <v>569</v>
      </c>
      <c r="J108" s="29"/>
      <c r="K108" s="29"/>
      <c r="L108" s="29">
        <v>1121.4903953950059</v>
      </c>
      <c r="M108" s="29">
        <v>0.24957019375307674</v>
      </c>
      <c r="N108" s="29">
        <v>0.2477689080127177</v>
      </c>
      <c r="O108" s="29">
        <v>0</v>
      </c>
      <c r="P108" s="29">
        <v>0</v>
      </c>
      <c r="Q108" s="29">
        <v>0</v>
      </c>
      <c r="R108" s="29">
        <v>144.49243163055851</v>
      </c>
      <c r="S108" s="29">
        <v>333.90003232343054</v>
      </c>
      <c r="T108" s="29">
        <v>0</v>
      </c>
      <c r="U108" s="29">
        <v>524.46844781047821</v>
      </c>
      <c r="V108" s="29" t="s">
        <v>345</v>
      </c>
      <c r="W108" s="29" t="s">
        <v>345</v>
      </c>
      <c r="X108" s="29" t="s">
        <v>345</v>
      </c>
      <c r="Y108" s="29" t="s">
        <v>345</v>
      </c>
      <c r="Z108" s="29">
        <v>0</v>
      </c>
      <c r="AA108" s="29">
        <v>0</v>
      </c>
      <c r="AB108" s="29">
        <v>0</v>
      </c>
      <c r="AC108" s="29">
        <v>0</v>
      </c>
      <c r="AD108" s="29">
        <v>0</v>
      </c>
      <c r="AE108" s="29">
        <v>0</v>
      </c>
      <c r="AF108" s="29">
        <v>0</v>
      </c>
      <c r="AG108" s="29">
        <v>0</v>
      </c>
      <c r="AH108" s="29">
        <v>144.49243163055851</v>
      </c>
      <c r="AI108" s="29">
        <v>333.90003232343054</v>
      </c>
      <c r="AJ108" s="29">
        <v>0</v>
      </c>
      <c r="AK108" s="29">
        <v>524.46844781047821</v>
      </c>
      <c r="AL108" s="29">
        <v>1002.8609117644672</v>
      </c>
      <c r="AM108" s="29">
        <v>576.03451544264408</v>
      </c>
      <c r="AN108" s="29">
        <v>88.185249856109351</v>
      </c>
      <c r="AO108" s="29">
        <v>0</v>
      </c>
      <c r="AP108" s="29">
        <v>0</v>
      </c>
      <c r="AQ108" s="29">
        <v>664.21976529875337</v>
      </c>
      <c r="AR108" s="29">
        <v>144.49243163055851</v>
      </c>
      <c r="AS108" s="33">
        <v>4.5969173457959744</v>
      </c>
      <c r="AT108" s="29">
        <v>576.03451544264408</v>
      </c>
      <c r="AU108" s="29">
        <v>104.38506985890247</v>
      </c>
      <c r="AV108" s="29">
        <v>0</v>
      </c>
      <c r="AW108" s="29">
        <v>0</v>
      </c>
      <c r="AX108" s="29">
        <v>680.41958530154659</v>
      </c>
      <c r="AY108" s="29">
        <v>333.90003232343054</v>
      </c>
      <c r="AZ108" s="33">
        <v>2.0377943079755729</v>
      </c>
      <c r="BA108" s="29">
        <v>576.03451544264408</v>
      </c>
      <c r="BB108" s="29">
        <v>192.57031971501181</v>
      </c>
      <c r="BC108" s="29">
        <v>0</v>
      </c>
      <c r="BD108" s="29">
        <v>0</v>
      </c>
      <c r="BE108" s="29">
        <v>768.604835157656</v>
      </c>
      <c r="BF108" s="29">
        <v>478.39246395398902</v>
      </c>
      <c r="BG108" s="29">
        <v>18.752985974862685</v>
      </c>
      <c r="BH108" s="33">
        <v>1.6066407668821034</v>
      </c>
      <c r="BI108" s="29">
        <v>9.4802470643286032</v>
      </c>
      <c r="BJ108" s="29">
        <v>21.907409028224631</v>
      </c>
      <c r="BK108" s="29">
        <v>0</v>
      </c>
      <c r="BL108" s="29">
        <v>34.410732843094628</v>
      </c>
      <c r="BM108" s="29">
        <v>65.798388935647864</v>
      </c>
      <c r="BN108" s="29">
        <v>576.03451544264408</v>
      </c>
      <c r="BO108" s="29">
        <v>0</v>
      </c>
      <c r="BP108" s="29">
        <v>192.57031971501181</v>
      </c>
      <c r="BQ108" s="29">
        <v>0</v>
      </c>
      <c r="BR108" s="29">
        <v>0</v>
      </c>
      <c r="BS108" s="29">
        <v>0</v>
      </c>
      <c r="BT108" s="29">
        <v>0</v>
      </c>
      <c r="BU108" s="29">
        <v>0</v>
      </c>
      <c r="BV108" s="29">
        <v>0</v>
      </c>
      <c r="BW108" s="29">
        <v>0</v>
      </c>
      <c r="BX108" s="29">
        <v>1002.8609117644672</v>
      </c>
      <c r="BY108" s="29"/>
      <c r="BZ108" s="29">
        <v>0</v>
      </c>
      <c r="CA108" s="29">
        <v>0</v>
      </c>
      <c r="CB108" s="29">
        <v>768.60483515765588</v>
      </c>
      <c r="CC108" s="29">
        <v>1002.8609117644672</v>
      </c>
      <c r="CD108" s="107">
        <v>0.76641219748543865</v>
      </c>
      <c r="CE108" s="29">
        <v>53.163718817957324</v>
      </c>
      <c r="CF108" s="29">
        <v>10.654286359780075</v>
      </c>
      <c r="CG108" s="29">
        <v>0</v>
      </c>
      <c r="CH108" s="29">
        <v>10.654286359780075</v>
      </c>
      <c r="CI108" s="29">
        <v>0.53270793781262771</v>
      </c>
      <c r="CJ108" s="29">
        <v>0</v>
      </c>
      <c r="CK108" s="29">
        <v>0.53270793781262771</v>
      </c>
      <c r="CL108" s="29"/>
      <c r="CM108" s="29">
        <v>0</v>
      </c>
      <c r="CN108" s="29"/>
      <c r="CO108" s="29">
        <v>0</v>
      </c>
      <c r="CP108" s="29">
        <v>0</v>
      </c>
      <c r="CQ108" s="29">
        <v>0</v>
      </c>
      <c r="CR108" s="29">
        <v>0</v>
      </c>
      <c r="CS108" s="29">
        <v>0</v>
      </c>
      <c r="CT108" s="29">
        <v>0</v>
      </c>
      <c r="CU108" s="29">
        <v>0</v>
      </c>
      <c r="CV108" s="29">
        <v>9999</v>
      </c>
      <c r="CW108" s="33">
        <v>9999</v>
      </c>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row>
    <row r="109" spans="1:131">
      <c r="A109" s="7" t="s">
        <v>471</v>
      </c>
      <c r="B109" s="7" t="s">
        <v>357</v>
      </c>
      <c r="C109" s="29">
        <v>13</v>
      </c>
      <c r="D109" s="29">
        <v>1.0000000000000001E-5</v>
      </c>
      <c r="E109" s="29">
        <v>0</v>
      </c>
      <c r="F109" s="29">
        <v>0</v>
      </c>
      <c r="G109" s="29">
        <v>0</v>
      </c>
      <c r="H109" s="29">
        <v>0</v>
      </c>
      <c r="I109" s="29" t="s">
        <v>551</v>
      </c>
      <c r="J109" s="29"/>
      <c r="K109" s="29"/>
      <c r="L109" s="29">
        <v>1.0783807742739335E-5</v>
      </c>
      <c r="M109" s="29">
        <v>5.6390564814433171E-9</v>
      </c>
      <c r="N109" s="29">
        <v>5.5983563005589244E-9</v>
      </c>
      <c r="O109" s="29">
        <v>0</v>
      </c>
      <c r="P109" s="29">
        <v>0</v>
      </c>
      <c r="Q109" s="29">
        <v>0</v>
      </c>
      <c r="R109" s="29">
        <v>0</v>
      </c>
      <c r="S109" s="29">
        <v>0</v>
      </c>
      <c r="T109" s="29">
        <v>0</v>
      </c>
      <c r="U109" s="29">
        <v>0</v>
      </c>
      <c r="V109" s="29" t="s">
        <v>345</v>
      </c>
      <c r="W109" s="29" t="s">
        <v>345</v>
      </c>
      <c r="X109" s="29" t="s">
        <v>345</v>
      </c>
      <c r="Y109" s="29" t="s">
        <v>345</v>
      </c>
      <c r="Z109" s="29">
        <v>0</v>
      </c>
      <c r="AA109" s="29">
        <v>0</v>
      </c>
      <c r="AB109" s="29">
        <v>0</v>
      </c>
      <c r="AC109" s="29">
        <v>0</v>
      </c>
      <c r="AD109" s="29">
        <v>0</v>
      </c>
      <c r="AE109" s="29">
        <v>0</v>
      </c>
      <c r="AF109" s="29">
        <v>0</v>
      </c>
      <c r="AG109" s="29">
        <v>0</v>
      </c>
      <c r="AH109" s="29">
        <v>0</v>
      </c>
      <c r="AI109" s="29">
        <v>0</v>
      </c>
      <c r="AJ109" s="29">
        <v>0</v>
      </c>
      <c r="AK109" s="29">
        <v>0</v>
      </c>
      <c r="AL109" s="29">
        <v>0</v>
      </c>
      <c r="AM109" s="29">
        <v>5.6801225748169201E-6</v>
      </c>
      <c r="AN109" s="29">
        <v>1.9925520643735169E-6</v>
      </c>
      <c r="AO109" s="29">
        <v>0</v>
      </c>
      <c r="AP109" s="29">
        <v>0</v>
      </c>
      <c r="AQ109" s="29">
        <v>7.6726746391904361E-6</v>
      </c>
      <c r="AR109" s="29">
        <v>0</v>
      </c>
      <c r="AS109" s="33">
        <v>9999</v>
      </c>
      <c r="AT109" s="29">
        <v>5.6801225748169201E-6</v>
      </c>
      <c r="AU109" s="29">
        <v>2.3585881627200549E-6</v>
      </c>
      <c r="AV109" s="29">
        <v>0</v>
      </c>
      <c r="AW109" s="29">
        <v>0</v>
      </c>
      <c r="AX109" s="29">
        <v>8.0387107375369749E-6</v>
      </c>
      <c r="AY109" s="29">
        <v>0</v>
      </c>
      <c r="AZ109" s="33">
        <v>9999</v>
      </c>
      <c r="BA109" s="29">
        <v>5.6801225748169201E-6</v>
      </c>
      <c r="BB109" s="29">
        <v>4.3511402270935718E-6</v>
      </c>
      <c r="BC109" s="29">
        <v>0</v>
      </c>
      <c r="BD109" s="29">
        <v>0</v>
      </c>
      <c r="BE109" s="29">
        <v>1.0031262801910492E-5</v>
      </c>
      <c r="BF109" s="29">
        <v>0</v>
      </c>
      <c r="BG109" s="29">
        <v>-29.689375169954904</v>
      </c>
      <c r="BH109" s="33">
        <v>9999</v>
      </c>
      <c r="BI109" s="29">
        <v>0</v>
      </c>
      <c r="BJ109" s="29">
        <v>0</v>
      </c>
      <c r="BK109" s="29">
        <v>0</v>
      </c>
      <c r="BL109" s="29">
        <v>0</v>
      </c>
      <c r="BM109" s="29">
        <v>0</v>
      </c>
      <c r="BN109" s="29">
        <v>5.6801225748169201E-6</v>
      </c>
      <c r="BO109" s="29">
        <v>0</v>
      </c>
      <c r="BP109" s="29">
        <v>4.3511402270935718E-6</v>
      </c>
      <c r="BQ109" s="29">
        <v>0</v>
      </c>
      <c r="BR109" s="29">
        <v>0</v>
      </c>
      <c r="BS109" s="29">
        <v>0</v>
      </c>
      <c r="BT109" s="29">
        <v>0</v>
      </c>
      <c r="BU109" s="29">
        <v>0</v>
      </c>
      <c r="BV109" s="29">
        <v>0</v>
      </c>
      <c r="BW109" s="29">
        <v>0</v>
      </c>
      <c r="BX109" s="29">
        <v>0</v>
      </c>
      <c r="BY109" s="29"/>
      <c r="BZ109" s="29">
        <v>0</v>
      </c>
      <c r="CA109" s="29">
        <v>0</v>
      </c>
      <c r="CB109" s="29">
        <v>1.0031262801910492E-5</v>
      </c>
      <c r="CC109" s="29">
        <v>0</v>
      </c>
      <c r="CD109" s="33">
        <v>9999</v>
      </c>
      <c r="CE109" s="29">
        <v>-29.689375169954904</v>
      </c>
      <c r="CF109" s="29">
        <v>1.0244682707561345E-7</v>
      </c>
      <c r="CG109" s="29">
        <v>0</v>
      </c>
      <c r="CH109" s="29">
        <v>1.0244682707561345E-7</v>
      </c>
      <c r="CI109" s="29">
        <v>5.1223086778011841E-9</v>
      </c>
      <c r="CJ109" s="29">
        <v>0</v>
      </c>
      <c r="CK109" s="29">
        <v>5.1223086778011841E-9</v>
      </c>
      <c r="CL109" s="29"/>
      <c r="CM109" s="29">
        <v>0</v>
      </c>
      <c r="CN109" s="29"/>
      <c r="CO109" s="29">
        <v>0</v>
      </c>
      <c r="CP109" s="29">
        <v>0</v>
      </c>
      <c r="CQ109" s="29">
        <v>0</v>
      </c>
      <c r="CR109" s="29">
        <v>0</v>
      </c>
      <c r="CS109" s="29">
        <v>0</v>
      </c>
      <c r="CT109" s="29">
        <v>0</v>
      </c>
      <c r="CU109" s="29">
        <v>0</v>
      </c>
      <c r="CV109" s="29">
        <v>9999</v>
      </c>
      <c r="CW109" s="33">
        <v>9999</v>
      </c>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row>
    <row r="110" spans="1:131">
      <c r="A110" s="7" t="s">
        <v>471</v>
      </c>
      <c r="B110" s="7" t="s">
        <v>359</v>
      </c>
      <c r="C110" s="29">
        <v>13</v>
      </c>
      <c r="D110" s="29">
        <v>1.0000000000000001E-5</v>
      </c>
      <c r="E110" s="29">
        <v>0</v>
      </c>
      <c r="F110" s="29">
        <v>0</v>
      </c>
      <c r="G110" s="29">
        <v>0</v>
      </c>
      <c r="H110" s="29">
        <v>0</v>
      </c>
      <c r="I110" s="29" t="s">
        <v>552</v>
      </c>
      <c r="J110" s="29"/>
      <c r="K110" s="29"/>
      <c r="L110" s="29">
        <v>1.0717520953171996E-5</v>
      </c>
      <c r="M110" s="29">
        <v>0</v>
      </c>
      <c r="N110" s="29">
        <v>0</v>
      </c>
      <c r="O110" s="29">
        <v>0</v>
      </c>
      <c r="P110" s="29">
        <v>0</v>
      </c>
      <c r="Q110" s="29">
        <v>0</v>
      </c>
      <c r="R110" s="29">
        <v>0</v>
      </c>
      <c r="S110" s="29">
        <v>0</v>
      </c>
      <c r="T110" s="29">
        <v>0</v>
      </c>
      <c r="U110" s="29">
        <v>0</v>
      </c>
      <c r="V110" s="29" t="s">
        <v>345</v>
      </c>
      <c r="W110" s="29" t="s">
        <v>345</v>
      </c>
      <c r="X110" s="29" t="s">
        <v>345</v>
      </c>
      <c r="Y110" s="29" t="s">
        <v>345</v>
      </c>
      <c r="Z110" s="29">
        <v>0</v>
      </c>
      <c r="AA110" s="29">
        <v>0</v>
      </c>
      <c r="AB110" s="29">
        <v>0</v>
      </c>
      <c r="AC110" s="29">
        <v>0</v>
      </c>
      <c r="AD110" s="29">
        <v>0</v>
      </c>
      <c r="AE110" s="29">
        <v>0</v>
      </c>
      <c r="AF110" s="29">
        <v>0</v>
      </c>
      <c r="AG110" s="29">
        <v>0</v>
      </c>
      <c r="AH110" s="29">
        <v>0</v>
      </c>
      <c r="AI110" s="29">
        <v>0</v>
      </c>
      <c r="AJ110" s="29">
        <v>0</v>
      </c>
      <c r="AK110" s="29">
        <v>0</v>
      </c>
      <c r="AL110" s="29">
        <v>0</v>
      </c>
      <c r="AM110" s="29">
        <v>5.5800831647479789E-6</v>
      </c>
      <c r="AN110" s="29">
        <v>0</v>
      </c>
      <c r="AO110" s="29">
        <v>0</v>
      </c>
      <c r="AP110" s="29">
        <v>0</v>
      </c>
      <c r="AQ110" s="29">
        <v>5.5800831647479789E-6</v>
      </c>
      <c r="AR110" s="29">
        <v>0</v>
      </c>
      <c r="AS110" s="33">
        <v>9999</v>
      </c>
      <c r="AT110" s="29">
        <v>5.5800831647479789E-6</v>
      </c>
      <c r="AU110" s="29">
        <v>0</v>
      </c>
      <c r="AV110" s="29">
        <v>0</v>
      </c>
      <c r="AW110" s="29">
        <v>0</v>
      </c>
      <c r="AX110" s="29">
        <v>5.5800831647479789E-6</v>
      </c>
      <c r="AY110" s="29">
        <v>0</v>
      </c>
      <c r="AZ110" s="33">
        <v>9999</v>
      </c>
      <c r="BA110" s="29">
        <v>5.5800831647479789E-6</v>
      </c>
      <c r="BB110" s="29">
        <v>0</v>
      </c>
      <c r="BC110" s="29">
        <v>0</v>
      </c>
      <c r="BD110" s="29">
        <v>0</v>
      </c>
      <c r="BE110" s="29">
        <v>5.5800831647479789E-6</v>
      </c>
      <c r="BF110" s="29">
        <v>0</v>
      </c>
      <c r="BG110" s="29">
        <v>0</v>
      </c>
      <c r="BH110" s="33">
        <v>9999</v>
      </c>
      <c r="BI110" s="29">
        <v>0</v>
      </c>
      <c r="BJ110" s="29">
        <v>0</v>
      </c>
      <c r="BK110" s="29">
        <v>0</v>
      </c>
      <c r="BL110" s="29">
        <v>0</v>
      </c>
      <c r="BM110" s="29">
        <v>0</v>
      </c>
      <c r="BN110" s="29">
        <v>5.5800831647479789E-6</v>
      </c>
      <c r="BO110" s="29">
        <v>0</v>
      </c>
      <c r="BP110" s="29">
        <v>0</v>
      </c>
      <c r="BQ110" s="29">
        <v>0</v>
      </c>
      <c r="BR110" s="29">
        <v>0</v>
      </c>
      <c r="BS110" s="29">
        <v>0</v>
      </c>
      <c r="BT110" s="29">
        <v>0</v>
      </c>
      <c r="BU110" s="29">
        <v>0</v>
      </c>
      <c r="BV110" s="29">
        <v>0</v>
      </c>
      <c r="BW110" s="29">
        <v>0</v>
      </c>
      <c r="BX110" s="29">
        <v>0</v>
      </c>
      <c r="BY110" s="29"/>
      <c r="BZ110" s="29">
        <v>0</v>
      </c>
      <c r="CA110" s="29">
        <v>0</v>
      </c>
      <c r="CB110" s="29">
        <v>5.5800831647479789E-6</v>
      </c>
      <c r="CC110" s="29">
        <v>0</v>
      </c>
      <c r="CD110" s="33">
        <v>9999</v>
      </c>
      <c r="CE110" s="29">
        <v>0</v>
      </c>
      <c r="CF110" s="29">
        <v>1.018228403603893E-7</v>
      </c>
      <c r="CG110" s="29">
        <v>0</v>
      </c>
      <c r="CH110" s="29">
        <v>1.018228403603893E-7</v>
      </c>
      <c r="CI110" s="29">
        <v>5.090822452756698E-9</v>
      </c>
      <c r="CJ110" s="29">
        <v>0</v>
      </c>
      <c r="CK110" s="29">
        <v>5.090822452756698E-9</v>
      </c>
      <c r="CL110" s="29"/>
      <c r="CM110" s="29">
        <v>0</v>
      </c>
      <c r="CN110" s="29"/>
      <c r="CO110" s="29">
        <v>0</v>
      </c>
      <c r="CP110" s="29">
        <v>0</v>
      </c>
      <c r="CQ110" s="29">
        <v>0</v>
      </c>
      <c r="CR110" s="29">
        <v>0</v>
      </c>
      <c r="CS110" s="29">
        <v>0</v>
      </c>
      <c r="CT110" s="29">
        <v>0</v>
      </c>
      <c r="CU110" s="29">
        <v>0</v>
      </c>
      <c r="CV110" s="29">
        <v>9999</v>
      </c>
      <c r="CW110" s="33">
        <v>9999</v>
      </c>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row>
    <row r="111" spans="1:131">
      <c r="A111" s="7" t="s">
        <v>472</v>
      </c>
      <c r="B111" s="7" t="s">
        <v>356</v>
      </c>
      <c r="C111" s="29">
        <v>13</v>
      </c>
      <c r="D111" s="29">
        <v>1262.9314874582285</v>
      </c>
      <c r="E111" s="29">
        <v>0</v>
      </c>
      <c r="F111" s="29">
        <v>724.58752370386082</v>
      </c>
      <c r="G111" s="29">
        <v>0</v>
      </c>
      <c r="H111" s="29">
        <v>0</v>
      </c>
      <c r="I111" s="29" t="s">
        <v>569</v>
      </c>
      <c r="J111" s="29"/>
      <c r="K111" s="29"/>
      <c r="L111" s="29">
        <v>1356.0803817060398</v>
      </c>
      <c r="M111" s="29">
        <v>0.30177453591826786</v>
      </c>
      <c r="N111" s="29">
        <v>0.29959646264686246</v>
      </c>
      <c r="O111" s="29">
        <v>0</v>
      </c>
      <c r="P111" s="29">
        <v>0</v>
      </c>
      <c r="Q111" s="29">
        <v>0</v>
      </c>
      <c r="R111" s="29">
        <v>144.49243163055922</v>
      </c>
      <c r="S111" s="29">
        <v>333.90003232343213</v>
      </c>
      <c r="T111" s="29">
        <v>0</v>
      </c>
      <c r="U111" s="29">
        <v>524.46844781048094</v>
      </c>
      <c r="V111" s="29" t="s">
        <v>345</v>
      </c>
      <c r="W111" s="29" t="s">
        <v>345</v>
      </c>
      <c r="X111" s="29" t="s">
        <v>345</v>
      </c>
      <c r="Y111" s="29" t="s">
        <v>345</v>
      </c>
      <c r="Z111" s="29">
        <v>0</v>
      </c>
      <c r="AA111" s="29">
        <v>0</v>
      </c>
      <c r="AB111" s="29">
        <v>0</v>
      </c>
      <c r="AC111" s="29">
        <v>0</v>
      </c>
      <c r="AD111" s="29">
        <v>0</v>
      </c>
      <c r="AE111" s="29">
        <v>0</v>
      </c>
      <c r="AF111" s="29">
        <v>0</v>
      </c>
      <c r="AG111" s="29">
        <v>0</v>
      </c>
      <c r="AH111" s="29">
        <v>144.49243163055922</v>
      </c>
      <c r="AI111" s="29">
        <v>333.90003232343213</v>
      </c>
      <c r="AJ111" s="29">
        <v>0</v>
      </c>
      <c r="AK111" s="29">
        <v>524.46844781048094</v>
      </c>
      <c r="AL111" s="29">
        <v>1002.8609117644723</v>
      </c>
      <c r="AM111" s="29">
        <v>696.52768207808106</v>
      </c>
      <c r="AN111" s="29">
        <v>106.63157506899125</v>
      </c>
      <c r="AO111" s="29">
        <v>0</v>
      </c>
      <c r="AP111" s="29">
        <v>0</v>
      </c>
      <c r="AQ111" s="29">
        <v>803.15925714707237</v>
      </c>
      <c r="AR111" s="29">
        <v>144.49243163055922</v>
      </c>
      <c r="AS111" s="33">
        <v>5.5584866839296057</v>
      </c>
      <c r="AT111" s="29">
        <v>696.52768207808106</v>
      </c>
      <c r="AU111" s="29">
        <v>126.22002467423219</v>
      </c>
      <c r="AV111" s="29">
        <v>0</v>
      </c>
      <c r="AW111" s="29">
        <v>0</v>
      </c>
      <c r="AX111" s="29">
        <v>822.74770675231321</v>
      </c>
      <c r="AY111" s="29">
        <v>333.90003232343213</v>
      </c>
      <c r="AZ111" s="33">
        <v>2.4640539895346851</v>
      </c>
      <c r="BA111" s="29">
        <v>696.52768207808106</v>
      </c>
      <c r="BB111" s="29">
        <v>232.85159974322346</v>
      </c>
      <c r="BC111" s="29">
        <v>0</v>
      </c>
      <c r="BD111" s="29">
        <v>0</v>
      </c>
      <c r="BE111" s="29">
        <v>929.3792818213044</v>
      </c>
      <c r="BF111" s="29">
        <v>478.39246395399135</v>
      </c>
      <c r="BG111" s="29">
        <v>13.323197363199506</v>
      </c>
      <c r="BH111" s="33">
        <v>1.9427130480690138</v>
      </c>
      <c r="BI111" s="29">
        <v>7.8402476520164006</v>
      </c>
      <c r="BJ111" s="29">
        <v>18.117619828873643</v>
      </c>
      <c r="BK111" s="29">
        <v>0</v>
      </c>
      <c r="BL111" s="29">
        <v>28.457978525936547</v>
      </c>
      <c r="BM111" s="29">
        <v>54.415846006826591</v>
      </c>
      <c r="BN111" s="29">
        <v>696.52768207808106</v>
      </c>
      <c r="BO111" s="29">
        <v>0</v>
      </c>
      <c r="BP111" s="29">
        <v>232.85159974322346</v>
      </c>
      <c r="BQ111" s="29">
        <v>0</v>
      </c>
      <c r="BR111" s="29">
        <v>0</v>
      </c>
      <c r="BS111" s="29">
        <v>0</v>
      </c>
      <c r="BT111" s="29">
        <v>0</v>
      </c>
      <c r="BU111" s="29">
        <v>0</v>
      </c>
      <c r="BV111" s="29">
        <v>-66.93994030774941</v>
      </c>
      <c r="BW111" s="29">
        <v>0</v>
      </c>
      <c r="BX111" s="29">
        <v>1002.8609117644723</v>
      </c>
      <c r="BY111" s="29"/>
      <c r="BZ111" s="29">
        <v>0</v>
      </c>
      <c r="CA111" s="29">
        <v>0</v>
      </c>
      <c r="CB111" s="29">
        <v>862.43934151355506</v>
      </c>
      <c r="CC111" s="29">
        <v>1002.8609117644723</v>
      </c>
      <c r="CD111" s="107">
        <v>0.86874045764787133</v>
      </c>
      <c r="CE111" s="29">
        <v>45.41337796298469</v>
      </c>
      <c r="CF111" s="29">
        <v>12.882917921456848</v>
      </c>
      <c r="CG111" s="29">
        <v>0</v>
      </c>
      <c r="CH111" s="29">
        <v>12.882917921456848</v>
      </c>
      <c r="CI111" s="29">
        <v>0.64413818131036871</v>
      </c>
      <c r="CJ111" s="29">
        <v>0</v>
      </c>
      <c r="CK111" s="29">
        <v>0.64413818131036871</v>
      </c>
      <c r="CL111" s="29"/>
      <c r="CM111" s="29">
        <v>0</v>
      </c>
      <c r="CN111" s="29"/>
      <c r="CO111" s="29">
        <v>0</v>
      </c>
      <c r="CP111" s="29">
        <v>0</v>
      </c>
      <c r="CQ111" s="29">
        <v>0</v>
      </c>
      <c r="CR111" s="29">
        <v>0</v>
      </c>
      <c r="CS111" s="29">
        <v>0</v>
      </c>
      <c r="CT111" s="29">
        <v>0</v>
      </c>
      <c r="CU111" s="29">
        <v>0</v>
      </c>
      <c r="CV111" s="29">
        <v>9999</v>
      </c>
      <c r="CW111" s="33">
        <v>9999</v>
      </c>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row>
    <row r="112" spans="1:131">
      <c r="A112" s="7" t="s">
        <v>472</v>
      </c>
      <c r="B112" s="7" t="s">
        <v>357</v>
      </c>
      <c r="C112" s="29">
        <v>13</v>
      </c>
      <c r="D112" s="29">
        <v>-12.937686790988048</v>
      </c>
      <c r="E112" s="29">
        <v>-19.089591168950285</v>
      </c>
      <c r="F112" s="29">
        <v>0</v>
      </c>
      <c r="G112" s="29">
        <v>0</v>
      </c>
      <c r="H112" s="29">
        <v>0</v>
      </c>
      <c r="I112" s="29" t="s">
        <v>551</v>
      </c>
      <c r="J112" s="29"/>
      <c r="K112" s="29"/>
      <c r="L112" s="29">
        <v>-13.95175269897933</v>
      </c>
      <c r="M112" s="29">
        <v>-7.2956346553604738E-3</v>
      </c>
      <c r="N112" s="29">
        <v>-7.24297803609859E-3</v>
      </c>
      <c r="O112" s="29">
        <v>-19.280487121041585</v>
      </c>
      <c r="P112" s="29">
        <v>0</v>
      </c>
      <c r="Q112" s="29">
        <v>0</v>
      </c>
      <c r="R112" s="29">
        <v>0</v>
      </c>
      <c r="S112" s="29">
        <v>0</v>
      </c>
      <c r="T112" s="29">
        <v>0</v>
      </c>
      <c r="U112" s="29">
        <v>0</v>
      </c>
      <c r="V112" s="29" t="s">
        <v>345</v>
      </c>
      <c r="W112" s="29" t="s">
        <v>345</v>
      </c>
      <c r="X112" s="29" t="s">
        <v>345</v>
      </c>
      <c r="Y112" s="29" t="s">
        <v>345</v>
      </c>
      <c r="Z112" s="29">
        <v>0</v>
      </c>
      <c r="AA112" s="29">
        <v>0</v>
      </c>
      <c r="AB112" s="29">
        <v>0</v>
      </c>
      <c r="AC112" s="29">
        <v>0</v>
      </c>
      <c r="AD112" s="29">
        <v>0</v>
      </c>
      <c r="AE112" s="29">
        <v>0</v>
      </c>
      <c r="AF112" s="29">
        <v>0</v>
      </c>
      <c r="AG112" s="29">
        <v>0</v>
      </c>
      <c r="AH112" s="29">
        <v>0</v>
      </c>
      <c r="AI112" s="29">
        <v>0</v>
      </c>
      <c r="AJ112" s="29">
        <v>0</v>
      </c>
      <c r="AK112" s="29">
        <v>0</v>
      </c>
      <c r="AL112" s="29">
        <v>0</v>
      </c>
      <c r="AM112" s="29">
        <v>-7.3487646807401861</v>
      </c>
      <c r="AN112" s="29">
        <v>-2.577901452360122</v>
      </c>
      <c r="AO112" s="29">
        <v>0</v>
      </c>
      <c r="AP112" s="29">
        <v>0</v>
      </c>
      <c r="AQ112" s="29">
        <v>-9.9266661331003085</v>
      </c>
      <c r="AR112" s="29">
        <v>0</v>
      </c>
      <c r="AS112" s="107">
        <v>0</v>
      </c>
      <c r="AT112" s="29">
        <v>-7.3487646807401861</v>
      </c>
      <c r="AU112" s="29">
        <v>-3.0514674918204023</v>
      </c>
      <c r="AV112" s="29">
        <v>0</v>
      </c>
      <c r="AW112" s="29">
        <v>0</v>
      </c>
      <c r="AX112" s="29">
        <v>-10.400232172560589</v>
      </c>
      <c r="AY112" s="29">
        <v>0</v>
      </c>
      <c r="AZ112" s="107">
        <v>0</v>
      </c>
      <c r="BA112" s="29">
        <v>-7.3487646807401861</v>
      </c>
      <c r="BB112" s="29">
        <v>-5.6293689441805244</v>
      </c>
      <c r="BC112" s="29">
        <v>0</v>
      </c>
      <c r="BD112" s="29">
        <v>0</v>
      </c>
      <c r="BE112" s="29">
        <v>-12.97813362492071</v>
      </c>
      <c r="BF112" s="29">
        <v>0</v>
      </c>
      <c r="BG112" s="29">
        <v>9999</v>
      </c>
      <c r="BH112" s="107">
        <v>0</v>
      </c>
      <c r="BI112" s="29">
        <v>9999</v>
      </c>
      <c r="BJ112" s="29">
        <v>9999</v>
      </c>
      <c r="BK112" s="29">
        <v>9999</v>
      </c>
      <c r="BL112" s="29">
        <v>9999</v>
      </c>
      <c r="BM112" s="29">
        <v>9999</v>
      </c>
      <c r="BN112" s="29">
        <v>-7.3487646807401861</v>
      </c>
      <c r="BO112" s="29">
        <v>-149.61018785853005</v>
      </c>
      <c r="BP112" s="29">
        <v>-5.6293689441805244</v>
      </c>
      <c r="BQ112" s="29">
        <v>0</v>
      </c>
      <c r="BR112" s="29">
        <v>0</v>
      </c>
      <c r="BS112" s="29">
        <v>0</v>
      </c>
      <c r="BT112" s="29">
        <v>0</v>
      </c>
      <c r="BU112" s="29">
        <v>0</v>
      </c>
      <c r="BV112" s="29">
        <v>-66.93994030774941</v>
      </c>
      <c r="BW112" s="29">
        <v>0</v>
      </c>
      <c r="BX112" s="29">
        <v>0</v>
      </c>
      <c r="BY112" s="29"/>
      <c r="BZ112" s="29">
        <v>0</v>
      </c>
      <c r="CA112" s="29">
        <v>0</v>
      </c>
      <c r="CB112" s="29">
        <v>-229.52826179120018</v>
      </c>
      <c r="CC112" s="29">
        <v>0</v>
      </c>
      <c r="CD112" s="107">
        <v>0</v>
      </c>
      <c r="CE112" s="29">
        <v>9999</v>
      </c>
      <c r="CF112" s="29">
        <v>-0.13254249614348007</v>
      </c>
      <c r="CG112" s="29">
        <v>-2.2558169931618641</v>
      </c>
      <c r="CH112" s="29">
        <v>-2.3883594893053441</v>
      </c>
      <c r="CI112" s="29">
        <v>-6.6270825320151831E-3</v>
      </c>
      <c r="CJ112" s="29">
        <v>-0.11279084965809325</v>
      </c>
      <c r="CK112" s="29">
        <v>-0.11941793219010843</v>
      </c>
      <c r="CL112" s="29"/>
      <c r="CM112" s="29">
        <v>-19.089591168950285</v>
      </c>
      <c r="CN112" s="29" t="s">
        <v>551</v>
      </c>
      <c r="CO112" s="29">
        <v>0</v>
      </c>
      <c r="CP112" s="29">
        <v>0</v>
      </c>
      <c r="CQ112" s="29">
        <v>-149.61018785853005</v>
      </c>
      <c r="CR112" s="29">
        <v>0</v>
      </c>
      <c r="CS112" s="29">
        <v>0</v>
      </c>
      <c r="CT112" s="29">
        <v>-149.61018785853005</v>
      </c>
      <c r="CU112" s="29">
        <v>0</v>
      </c>
      <c r="CV112" s="29">
        <v>9999</v>
      </c>
      <c r="CW112" s="107">
        <v>0</v>
      </c>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row>
    <row r="113" spans="1:131">
      <c r="A113" s="7" t="s">
        <v>472</v>
      </c>
      <c r="B113" s="7" t="s">
        <v>359</v>
      </c>
      <c r="C113" s="29">
        <v>13</v>
      </c>
      <c r="D113" s="29">
        <v>1.0000000000000001E-5</v>
      </c>
      <c r="E113" s="29">
        <v>0</v>
      </c>
      <c r="F113" s="29">
        <v>0</v>
      </c>
      <c r="G113" s="29">
        <v>0</v>
      </c>
      <c r="H113" s="29">
        <v>0</v>
      </c>
      <c r="I113" s="29" t="s">
        <v>552</v>
      </c>
      <c r="J113" s="29"/>
      <c r="K113" s="29"/>
      <c r="L113" s="29">
        <v>1.0717520953171996E-5</v>
      </c>
      <c r="M113" s="29">
        <v>0</v>
      </c>
      <c r="N113" s="29">
        <v>0</v>
      </c>
      <c r="O113" s="29">
        <v>0</v>
      </c>
      <c r="P113" s="29">
        <v>0</v>
      </c>
      <c r="Q113" s="29">
        <v>0</v>
      </c>
      <c r="R113" s="29">
        <v>0</v>
      </c>
      <c r="S113" s="29">
        <v>0</v>
      </c>
      <c r="T113" s="29">
        <v>0</v>
      </c>
      <c r="U113" s="29">
        <v>0</v>
      </c>
      <c r="V113" s="29" t="s">
        <v>345</v>
      </c>
      <c r="W113" s="29" t="s">
        <v>345</v>
      </c>
      <c r="X113" s="29" t="s">
        <v>345</v>
      </c>
      <c r="Y113" s="29" t="s">
        <v>345</v>
      </c>
      <c r="Z113" s="29">
        <v>0</v>
      </c>
      <c r="AA113" s="29">
        <v>0</v>
      </c>
      <c r="AB113" s="29">
        <v>0</v>
      </c>
      <c r="AC113" s="29">
        <v>0</v>
      </c>
      <c r="AD113" s="29">
        <v>0</v>
      </c>
      <c r="AE113" s="29">
        <v>0</v>
      </c>
      <c r="AF113" s="29">
        <v>0</v>
      </c>
      <c r="AG113" s="29">
        <v>0</v>
      </c>
      <c r="AH113" s="29">
        <v>0</v>
      </c>
      <c r="AI113" s="29">
        <v>0</v>
      </c>
      <c r="AJ113" s="29">
        <v>0</v>
      </c>
      <c r="AK113" s="29">
        <v>0</v>
      </c>
      <c r="AL113" s="29">
        <v>0</v>
      </c>
      <c r="AM113" s="29">
        <v>5.5800831647479789E-6</v>
      </c>
      <c r="AN113" s="29">
        <v>0</v>
      </c>
      <c r="AO113" s="29">
        <v>0</v>
      </c>
      <c r="AP113" s="29">
        <v>0</v>
      </c>
      <c r="AQ113" s="29">
        <v>5.5800831647479789E-6</v>
      </c>
      <c r="AR113" s="29">
        <v>0</v>
      </c>
      <c r="AS113" s="33">
        <v>9999</v>
      </c>
      <c r="AT113" s="29">
        <v>5.5800831647479789E-6</v>
      </c>
      <c r="AU113" s="29">
        <v>0</v>
      </c>
      <c r="AV113" s="29">
        <v>0</v>
      </c>
      <c r="AW113" s="29">
        <v>0</v>
      </c>
      <c r="AX113" s="29">
        <v>5.5800831647479789E-6</v>
      </c>
      <c r="AY113" s="29">
        <v>0</v>
      </c>
      <c r="AZ113" s="33">
        <v>9999</v>
      </c>
      <c r="BA113" s="29">
        <v>5.5800831647479789E-6</v>
      </c>
      <c r="BB113" s="29">
        <v>0</v>
      </c>
      <c r="BC113" s="29">
        <v>0</v>
      </c>
      <c r="BD113" s="29">
        <v>0</v>
      </c>
      <c r="BE113" s="29">
        <v>5.5800831647479789E-6</v>
      </c>
      <c r="BF113" s="29">
        <v>0</v>
      </c>
      <c r="BG113" s="29">
        <v>0</v>
      </c>
      <c r="BH113" s="33">
        <v>9999</v>
      </c>
      <c r="BI113" s="29">
        <v>0</v>
      </c>
      <c r="BJ113" s="29">
        <v>0</v>
      </c>
      <c r="BK113" s="29">
        <v>0</v>
      </c>
      <c r="BL113" s="29">
        <v>0</v>
      </c>
      <c r="BM113" s="29">
        <v>0</v>
      </c>
      <c r="BN113" s="29">
        <v>5.5800831647479789E-6</v>
      </c>
      <c r="BO113" s="29">
        <v>0</v>
      </c>
      <c r="BP113" s="29">
        <v>0</v>
      </c>
      <c r="BQ113" s="29">
        <v>0</v>
      </c>
      <c r="BR113" s="29">
        <v>0</v>
      </c>
      <c r="BS113" s="29">
        <v>0</v>
      </c>
      <c r="BT113" s="29">
        <v>0</v>
      </c>
      <c r="BU113" s="29">
        <v>0</v>
      </c>
      <c r="BV113" s="29">
        <v>-66.93994030774941</v>
      </c>
      <c r="BW113" s="29">
        <v>0</v>
      </c>
      <c r="BX113" s="29">
        <v>0</v>
      </c>
      <c r="BY113" s="29"/>
      <c r="BZ113" s="29">
        <v>0</v>
      </c>
      <c r="CA113" s="29">
        <v>0</v>
      </c>
      <c r="CB113" s="29">
        <v>-66.939934727666241</v>
      </c>
      <c r="CC113" s="29">
        <v>0</v>
      </c>
      <c r="CD113" s="107">
        <v>8.3359547963355318E-8</v>
      </c>
      <c r="CE113" s="29">
        <v>459579971.54933006</v>
      </c>
      <c r="CF113" s="29">
        <v>1.018228403603893E-7</v>
      </c>
      <c r="CG113" s="29">
        <v>0</v>
      </c>
      <c r="CH113" s="29">
        <v>1.018228403603893E-7</v>
      </c>
      <c r="CI113" s="29">
        <v>5.090822452756698E-9</v>
      </c>
      <c r="CJ113" s="29">
        <v>0</v>
      </c>
      <c r="CK113" s="29">
        <v>5.090822452756698E-9</v>
      </c>
      <c r="CL113" s="29"/>
      <c r="CM113" s="29">
        <v>0</v>
      </c>
      <c r="CN113" s="29"/>
      <c r="CO113" s="29">
        <v>0</v>
      </c>
      <c r="CP113" s="29">
        <v>0</v>
      </c>
      <c r="CQ113" s="29">
        <v>0</v>
      </c>
      <c r="CR113" s="29">
        <v>0</v>
      </c>
      <c r="CS113" s="29">
        <v>0</v>
      </c>
      <c r="CT113" s="29">
        <v>0</v>
      </c>
      <c r="CU113" s="29">
        <v>0</v>
      </c>
      <c r="CV113" s="29">
        <v>9999</v>
      </c>
      <c r="CW113" s="33">
        <v>9999</v>
      </c>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row>
    <row r="114" spans="1:131">
      <c r="A114" s="7" t="s">
        <v>473</v>
      </c>
      <c r="B114" s="7" t="s">
        <v>356</v>
      </c>
      <c r="C114" s="29">
        <v>13</v>
      </c>
      <c r="D114" s="29">
        <v>1249.1941493493205</v>
      </c>
      <c r="E114" s="29">
        <v>0</v>
      </c>
      <c r="F114" s="29">
        <v>724.58752370386082</v>
      </c>
      <c r="G114" s="29">
        <v>0</v>
      </c>
      <c r="H114" s="29">
        <v>0</v>
      </c>
      <c r="I114" s="29" t="s">
        <v>569</v>
      </c>
      <c r="J114" s="29"/>
      <c r="K114" s="29"/>
      <c r="L114" s="29">
        <v>1341.3298311881765</v>
      </c>
      <c r="M114" s="29">
        <v>0.29849203098927013</v>
      </c>
      <c r="N114" s="29">
        <v>0.29633764936642398</v>
      </c>
      <c r="O114" s="29">
        <v>0</v>
      </c>
      <c r="P114" s="29">
        <v>0</v>
      </c>
      <c r="Q114" s="29">
        <v>0</v>
      </c>
      <c r="R114" s="29">
        <v>144.49243163055922</v>
      </c>
      <c r="S114" s="29">
        <v>333.90003232343213</v>
      </c>
      <c r="T114" s="29">
        <v>0</v>
      </c>
      <c r="U114" s="29">
        <v>524.46844781048094</v>
      </c>
      <c r="V114" s="29" t="s">
        <v>345</v>
      </c>
      <c r="W114" s="29" t="s">
        <v>345</v>
      </c>
      <c r="X114" s="29" t="s">
        <v>345</v>
      </c>
      <c r="Y114" s="29" t="s">
        <v>345</v>
      </c>
      <c r="Z114" s="29">
        <v>0</v>
      </c>
      <c r="AA114" s="29">
        <v>0</v>
      </c>
      <c r="AB114" s="29">
        <v>0</v>
      </c>
      <c r="AC114" s="29">
        <v>0</v>
      </c>
      <c r="AD114" s="29">
        <v>0</v>
      </c>
      <c r="AE114" s="29">
        <v>0</v>
      </c>
      <c r="AF114" s="29">
        <v>0</v>
      </c>
      <c r="AG114" s="29">
        <v>0</v>
      </c>
      <c r="AH114" s="29">
        <v>144.49243163055922</v>
      </c>
      <c r="AI114" s="29">
        <v>333.90003232343213</v>
      </c>
      <c r="AJ114" s="29">
        <v>0</v>
      </c>
      <c r="AK114" s="29">
        <v>524.46844781048094</v>
      </c>
      <c r="AL114" s="29">
        <v>1002.8609117644723</v>
      </c>
      <c r="AM114" s="29">
        <v>688.95131204855704</v>
      </c>
      <c r="AN114" s="29">
        <v>105.47170692542608</v>
      </c>
      <c r="AO114" s="29">
        <v>0</v>
      </c>
      <c r="AP114" s="29">
        <v>0</v>
      </c>
      <c r="AQ114" s="29">
        <v>794.42301897398306</v>
      </c>
      <c r="AR114" s="29">
        <v>144.49243163055922</v>
      </c>
      <c r="AS114" s="33">
        <v>5.498025121517629</v>
      </c>
      <c r="AT114" s="29">
        <v>688.95131204855704</v>
      </c>
      <c r="AU114" s="29">
        <v>124.84708625889955</v>
      </c>
      <c r="AV114" s="29">
        <v>0</v>
      </c>
      <c r="AW114" s="29">
        <v>0</v>
      </c>
      <c r="AX114" s="29">
        <v>813.79839830745664</v>
      </c>
      <c r="AY114" s="29">
        <v>333.90003232343213</v>
      </c>
      <c r="AZ114" s="33">
        <v>2.4372516308089818</v>
      </c>
      <c r="BA114" s="29">
        <v>688.95131204855704</v>
      </c>
      <c r="BB114" s="29">
        <v>230.31879318432561</v>
      </c>
      <c r="BC114" s="29">
        <v>0</v>
      </c>
      <c r="BD114" s="29">
        <v>0</v>
      </c>
      <c r="BE114" s="29">
        <v>919.27010523288277</v>
      </c>
      <c r="BF114" s="29">
        <v>478.39246395399135</v>
      </c>
      <c r="BG114" s="29">
        <v>13.608654993910426</v>
      </c>
      <c r="BH114" s="33">
        <v>1.921581493226223</v>
      </c>
      <c r="BI114" s="29">
        <v>7.9264665419378924</v>
      </c>
      <c r="BJ114" s="29">
        <v>18.316858569663079</v>
      </c>
      <c r="BK114" s="29">
        <v>0</v>
      </c>
      <c r="BL114" s="29">
        <v>28.770929777837992</v>
      </c>
      <c r="BM114" s="29">
        <v>55.014254889438966</v>
      </c>
      <c r="BN114" s="29">
        <v>688.95131204855704</v>
      </c>
      <c r="BO114" s="29">
        <v>0</v>
      </c>
      <c r="BP114" s="29">
        <v>230.31879318432561</v>
      </c>
      <c r="BQ114" s="29">
        <v>0</v>
      </c>
      <c r="BR114" s="29">
        <v>0</v>
      </c>
      <c r="BS114" s="29">
        <v>0</v>
      </c>
      <c r="BT114" s="29">
        <v>0</v>
      </c>
      <c r="BU114" s="29">
        <v>0</v>
      </c>
      <c r="BV114" s="29">
        <v>-67.641292345371085</v>
      </c>
      <c r="BW114" s="29">
        <v>0</v>
      </c>
      <c r="BX114" s="29">
        <v>1002.8609117644723</v>
      </c>
      <c r="BY114" s="29"/>
      <c r="BZ114" s="29">
        <v>0</v>
      </c>
      <c r="CA114" s="29">
        <v>0</v>
      </c>
      <c r="CB114" s="29">
        <v>851.62881288751157</v>
      </c>
      <c r="CC114" s="29">
        <v>1002.8609117644723</v>
      </c>
      <c r="CD114" s="107">
        <v>0.85872789584518883</v>
      </c>
      <c r="CE114" s="29">
        <v>46.090204314783577</v>
      </c>
      <c r="CF114" s="29">
        <v>12.742786013214911</v>
      </c>
      <c r="CG114" s="29">
        <v>0</v>
      </c>
      <c r="CH114" s="29">
        <v>12.742786013214911</v>
      </c>
      <c r="CI114" s="29">
        <v>0.63713166981438363</v>
      </c>
      <c r="CJ114" s="29">
        <v>0</v>
      </c>
      <c r="CK114" s="29">
        <v>0.63713166981438363</v>
      </c>
      <c r="CL114" s="29"/>
      <c r="CM114" s="29">
        <v>0</v>
      </c>
      <c r="CN114" s="29"/>
      <c r="CO114" s="29">
        <v>0</v>
      </c>
      <c r="CP114" s="29">
        <v>0</v>
      </c>
      <c r="CQ114" s="29">
        <v>0</v>
      </c>
      <c r="CR114" s="29">
        <v>0</v>
      </c>
      <c r="CS114" s="29">
        <v>0</v>
      </c>
      <c r="CT114" s="29">
        <v>0</v>
      </c>
      <c r="CU114" s="29">
        <v>0</v>
      </c>
      <c r="CV114" s="29">
        <v>9999</v>
      </c>
      <c r="CW114" s="33">
        <v>9999</v>
      </c>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row>
    <row r="115" spans="1:131">
      <c r="A115" s="7" t="s">
        <v>473</v>
      </c>
      <c r="B115" s="7" t="s">
        <v>357</v>
      </c>
      <c r="C115" s="29">
        <v>13</v>
      </c>
      <c r="D115" s="29">
        <v>-14.21533115333802</v>
      </c>
      <c r="E115" s="29">
        <v>-19.245784201841445</v>
      </c>
      <c r="F115" s="29">
        <v>0</v>
      </c>
      <c r="G115" s="29">
        <v>0</v>
      </c>
      <c r="H115" s="29">
        <v>0</v>
      </c>
      <c r="I115" s="29" t="s">
        <v>551</v>
      </c>
      <c r="J115" s="29"/>
      <c r="K115" s="29"/>
      <c r="L115" s="29">
        <v>-15.32953981569702</v>
      </c>
      <c r="M115" s="29">
        <v>-8.0161055276093858E-3</v>
      </c>
      <c r="N115" s="29">
        <v>-7.9582488726821464E-3</v>
      </c>
      <c r="O115" s="29">
        <v>-19.438242084592225</v>
      </c>
      <c r="P115" s="29">
        <v>0</v>
      </c>
      <c r="Q115" s="29">
        <v>0</v>
      </c>
      <c r="R115" s="29">
        <v>0</v>
      </c>
      <c r="S115" s="29">
        <v>0</v>
      </c>
      <c r="T115" s="29">
        <v>0</v>
      </c>
      <c r="U115" s="29">
        <v>0</v>
      </c>
      <c r="V115" s="29" t="s">
        <v>345</v>
      </c>
      <c r="W115" s="29" t="s">
        <v>345</v>
      </c>
      <c r="X115" s="29" t="s">
        <v>345</v>
      </c>
      <c r="Y115" s="29" t="s">
        <v>345</v>
      </c>
      <c r="Z115" s="29">
        <v>0</v>
      </c>
      <c r="AA115" s="29">
        <v>0</v>
      </c>
      <c r="AB115" s="29">
        <v>0</v>
      </c>
      <c r="AC115" s="29">
        <v>0</v>
      </c>
      <c r="AD115" s="29">
        <v>0</v>
      </c>
      <c r="AE115" s="29">
        <v>0</v>
      </c>
      <c r="AF115" s="29">
        <v>0</v>
      </c>
      <c r="AG115" s="29">
        <v>0</v>
      </c>
      <c r="AH115" s="29">
        <v>0</v>
      </c>
      <c r="AI115" s="29">
        <v>0</v>
      </c>
      <c r="AJ115" s="29">
        <v>0</v>
      </c>
      <c r="AK115" s="29">
        <v>0</v>
      </c>
      <c r="AL115" s="29">
        <v>0</v>
      </c>
      <c r="AM115" s="29">
        <v>-8.0744823392573597</v>
      </c>
      <c r="AN115" s="29">
        <v>-2.8324787435336836</v>
      </c>
      <c r="AO115" s="29">
        <v>0</v>
      </c>
      <c r="AP115" s="29">
        <v>0</v>
      </c>
      <c r="AQ115" s="29">
        <v>-10.906961082791042</v>
      </c>
      <c r="AR115" s="29">
        <v>0</v>
      </c>
      <c r="AS115" s="107">
        <v>0</v>
      </c>
      <c r="AT115" s="29">
        <v>-8.0744823392573597</v>
      </c>
      <c r="AU115" s="29">
        <v>-3.3528111787408679</v>
      </c>
      <c r="AV115" s="29">
        <v>0</v>
      </c>
      <c r="AW115" s="29">
        <v>0</v>
      </c>
      <c r="AX115" s="29">
        <v>-11.427293517998228</v>
      </c>
      <c r="AY115" s="29">
        <v>0</v>
      </c>
      <c r="AZ115" s="107">
        <v>0</v>
      </c>
      <c r="BA115" s="29">
        <v>-8.0744823392573597</v>
      </c>
      <c r="BB115" s="29">
        <v>-6.185289922274551</v>
      </c>
      <c r="BC115" s="29">
        <v>0</v>
      </c>
      <c r="BD115" s="29">
        <v>0</v>
      </c>
      <c r="BE115" s="29">
        <v>-14.259772261531911</v>
      </c>
      <c r="BF115" s="29">
        <v>0</v>
      </c>
      <c r="BG115" s="29">
        <v>9999</v>
      </c>
      <c r="BH115" s="107">
        <v>0</v>
      </c>
      <c r="BI115" s="29">
        <v>9999</v>
      </c>
      <c r="BJ115" s="29">
        <v>9999</v>
      </c>
      <c r="BK115" s="29">
        <v>9999</v>
      </c>
      <c r="BL115" s="29">
        <v>9999</v>
      </c>
      <c r="BM115" s="29">
        <v>9999</v>
      </c>
      <c r="BN115" s="29">
        <v>-8.0744823392573597</v>
      </c>
      <c r="BO115" s="29">
        <v>-150.83431407402765</v>
      </c>
      <c r="BP115" s="29">
        <v>-6.185289922274551</v>
      </c>
      <c r="BQ115" s="29">
        <v>0</v>
      </c>
      <c r="BR115" s="29">
        <v>0</v>
      </c>
      <c r="BS115" s="29">
        <v>0</v>
      </c>
      <c r="BT115" s="29">
        <v>0</v>
      </c>
      <c r="BU115" s="29">
        <v>0</v>
      </c>
      <c r="BV115" s="29">
        <v>-67.641292345371085</v>
      </c>
      <c r="BW115" s="29">
        <v>0</v>
      </c>
      <c r="BX115" s="29">
        <v>0</v>
      </c>
      <c r="BY115" s="29"/>
      <c r="BZ115" s="29">
        <v>0</v>
      </c>
      <c r="CA115" s="29">
        <v>0</v>
      </c>
      <c r="CB115" s="29">
        <v>-232.73537868093064</v>
      </c>
      <c r="CC115" s="29">
        <v>0</v>
      </c>
      <c r="CD115" s="107">
        <v>0</v>
      </c>
      <c r="CE115" s="29">
        <v>9999</v>
      </c>
      <c r="CF115" s="29">
        <v>-0.14563155724886021</v>
      </c>
      <c r="CG115" s="29">
        <v>-2.2742743238972891</v>
      </c>
      <c r="CH115" s="29">
        <v>-2.4199058811461494</v>
      </c>
      <c r="CI115" s="29">
        <v>-7.2815314124560831E-3</v>
      </c>
      <c r="CJ115" s="29">
        <v>-0.11371371619486449</v>
      </c>
      <c r="CK115" s="29">
        <v>-0.12099524760732057</v>
      </c>
      <c r="CL115" s="29"/>
      <c r="CM115" s="29">
        <v>-19.245784201841445</v>
      </c>
      <c r="CN115" s="29" t="s">
        <v>551</v>
      </c>
      <c r="CO115" s="29">
        <v>0</v>
      </c>
      <c r="CP115" s="29">
        <v>0</v>
      </c>
      <c r="CQ115" s="29">
        <v>-150.83431407402765</v>
      </c>
      <c r="CR115" s="29">
        <v>0</v>
      </c>
      <c r="CS115" s="29">
        <v>0</v>
      </c>
      <c r="CT115" s="29">
        <v>-150.83431407402765</v>
      </c>
      <c r="CU115" s="29">
        <v>0</v>
      </c>
      <c r="CV115" s="29">
        <v>9999</v>
      </c>
      <c r="CW115" s="107">
        <v>0</v>
      </c>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row>
    <row r="116" spans="1:131">
      <c r="A116" s="7" t="s">
        <v>473</v>
      </c>
      <c r="B116" s="7" t="s">
        <v>359</v>
      </c>
      <c r="C116" s="29">
        <v>13</v>
      </c>
      <c r="D116" s="29">
        <v>30.496074316971505</v>
      </c>
      <c r="E116" s="29">
        <v>0</v>
      </c>
      <c r="F116" s="29">
        <v>0</v>
      </c>
      <c r="G116" s="29">
        <v>0</v>
      </c>
      <c r="H116" s="29">
        <v>0</v>
      </c>
      <c r="I116" s="29" t="s">
        <v>552</v>
      </c>
      <c r="J116" s="29"/>
      <c r="K116" s="29"/>
      <c r="L116" s="29">
        <v>32.684231548163247</v>
      </c>
      <c r="M116" s="29">
        <v>0</v>
      </c>
      <c r="N116" s="29">
        <v>0</v>
      </c>
      <c r="O116" s="29">
        <v>0</v>
      </c>
      <c r="P116" s="29">
        <v>0</v>
      </c>
      <c r="Q116" s="29">
        <v>0</v>
      </c>
      <c r="R116" s="29">
        <v>0</v>
      </c>
      <c r="S116" s="29">
        <v>0</v>
      </c>
      <c r="T116" s="29">
        <v>0</v>
      </c>
      <c r="U116" s="29">
        <v>0</v>
      </c>
      <c r="V116" s="29" t="s">
        <v>345</v>
      </c>
      <c r="W116" s="29" t="s">
        <v>345</v>
      </c>
      <c r="X116" s="29" t="s">
        <v>345</v>
      </c>
      <c r="Y116" s="29" t="s">
        <v>345</v>
      </c>
      <c r="Z116" s="29">
        <v>0</v>
      </c>
      <c r="AA116" s="29">
        <v>0</v>
      </c>
      <c r="AB116" s="29">
        <v>0</v>
      </c>
      <c r="AC116" s="29">
        <v>0</v>
      </c>
      <c r="AD116" s="29">
        <v>0</v>
      </c>
      <c r="AE116" s="29">
        <v>0</v>
      </c>
      <c r="AF116" s="29">
        <v>0</v>
      </c>
      <c r="AG116" s="29">
        <v>0</v>
      </c>
      <c r="AH116" s="29">
        <v>0</v>
      </c>
      <c r="AI116" s="29">
        <v>0</v>
      </c>
      <c r="AJ116" s="29">
        <v>0</v>
      </c>
      <c r="AK116" s="29">
        <v>0</v>
      </c>
      <c r="AL116" s="29">
        <v>0</v>
      </c>
      <c r="AM116" s="29">
        <v>17.017063088703594</v>
      </c>
      <c r="AN116" s="29">
        <v>0</v>
      </c>
      <c r="AO116" s="29">
        <v>0</v>
      </c>
      <c r="AP116" s="29">
        <v>0</v>
      </c>
      <c r="AQ116" s="29">
        <v>17.017063088703594</v>
      </c>
      <c r="AR116" s="29">
        <v>0</v>
      </c>
      <c r="AS116" s="33">
        <v>9999</v>
      </c>
      <c r="AT116" s="29">
        <v>17.017063088703594</v>
      </c>
      <c r="AU116" s="29">
        <v>0</v>
      </c>
      <c r="AV116" s="29">
        <v>0</v>
      </c>
      <c r="AW116" s="29">
        <v>0</v>
      </c>
      <c r="AX116" s="29">
        <v>17.017063088703594</v>
      </c>
      <c r="AY116" s="29">
        <v>0</v>
      </c>
      <c r="AZ116" s="33">
        <v>9999</v>
      </c>
      <c r="BA116" s="29">
        <v>17.017063088703594</v>
      </c>
      <c r="BB116" s="29">
        <v>0</v>
      </c>
      <c r="BC116" s="29">
        <v>0</v>
      </c>
      <c r="BD116" s="29">
        <v>0</v>
      </c>
      <c r="BE116" s="29">
        <v>17.017063088703594</v>
      </c>
      <c r="BF116" s="29">
        <v>0</v>
      </c>
      <c r="BG116" s="29">
        <v>0</v>
      </c>
      <c r="BH116" s="33">
        <v>9999</v>
      </c>
      <c r="BI116" s="29">
        <v>0</v>
      </c>
      <c r="BJ116" s="29">
        <v>0</v>
      </c>
      <c r="BK116" s="29">
        <v>0</v>
      </c>
      <c r="BL116" s="29">
        <v>0</v>
      </c>
      <c r="BM116" s="29">
        <v>0</v>
      </c>
      <c r="BN116" s="29">
        <v>17.017063088703594</v>
      </c>
      <c r="BO116" s="29">
        <v>0</v>
      </c>
      <c r="BP116" s="29">
        <v>0</v>
      </c>
      <c r="BQ116" s="29">
        <v>0</v>
      </c>
      <c r="BR116" s="29">
        <v>0</v>
      </c>
      <c r="BS116" s="29">
        <v>0</v>
      </c>
      <c r="BT116" s="29">
        <v>0</v>
      </c>
      <c r="BU116" s="29">
        <v>0</v>
      </c>
      <c r="BV116" s="29">
        <v>-67.641292345371085</v>
      </c>
      <c r="BW116" s="29">
        <v>0</v>
      </c>
      <c r="BX116" s="29">
        <v>0</v>
      </c>
      <c r="BY116" s="29"/>
      <c r="BZ116" s="29">
        <v>0</v>
      </c>
      <c r="CA116" s="29">
        <v>0</v>
      </c>
      <c r="CB116" s="29">
        <v>-50.624229256667491</v>
      </c>
      <c r="CC116" s="29">
        <v>0</v>
      </c>
      <c r="CD116" s="107">
        <v>0.25157803020403302</v>
      </c>
      <c r="CE116" s="29">
        <v>152.28030305465725</v>
      </c>
      <c r="CF116" s="29">
        <v>0.31051969067955593</v>
      </c>
      <c r="CG116" s="29">
        <v>0</v>
      </c>
      <c r="CH116" s="29">
        <v>0.31051969067955593</v>
      </c>
      <c r="CI116" s="29">
        <v>1.5525009985377541E-2</v>
      </c>
      <c r="CJ116" s="29">
        <v>0</v>
      </c>
      <c r="CK116" s="29">
        <v>1.5525009985377541E-2</v>
      </c>
      <c r="CL116" s="29"/>
      <c r="CM116" s="29">
        <v>0</v>
      </c>
      <c r="CN116" s="29"/>
      <c r="CO116" s="29">
        <v>0</v>
      </c>
      <c r="CP116" s="29">
        <v>0</v>
      </c>
      <c r="CQ116" s="29">
        <v>0</v>
      </c>
      <c r="CR116" s="29">
        <v>0</v>
      </c>
      <c r="CS116" s="29">
        <v>0</v>
      </c>
      <c r="CT116" s="29">
        <v>0</v>
      </c>
      <c r="CU116" s="29">
        <v>0</v>
      </c>
      <c r="CV116" s="29">
        <v>9999</v>
      </c>
      <c r="CW116" s="33">
        <v>9999</v>
      </c>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row>
    <row r="117" spans="1:131">
      <c r="A117" s="7" t="s">
        <v>474</v>
      </c>
      <c r="B117" s="7" t="s">
        <v>356</v>
      </c>
      <c r="C117" s="29">
        <v>13</v>
      </c>
      <c r="D117" s="29">
        <v>1262.9314874582285</v>
      </c>
      <c r="E117" s="29">
        <v>0</v>
      </c>
      <c r="F117" s="29">
        <v>724.58752370386082</v>
      </c>
      <c r="G117" s="29">
        <v>0</v>
      </c>
      <c r="H117" s="29">
        <v>0</v>
      </c>
      <c r="I117" s="29" t="s">
        <v>569</v>
      </c>
      <c r="J117" s="29"/>
      <c r="K117" s="29"/>
      <c r="L117" s="29">
        <v>1356.0803817060398</v>
      </c>
      <c r="M117" s="29">
        <v>0.30177453591826786</v>
      </c>
      <c r="N117" s="29">
        <v>0.29959646264686246</v>
      </c>
      <c r="O117" s="29">
        <v>0</v>
      </c>
      <c r="P117" s="29">
        <v>0</v>
      </c>
      <c r="Q117" s="29">
        <v>0</v>
      </c>
      <c r="R117" s="29">
        <v>144.49243163055922</v>
      </c>
      <c r="S117" s="29">
        <v>333.90003232343213</v>
      </c>
      <c r="T117" s="29">
        <v>0</v>
      </c>
      <c r="U117" s="29">
        <v>524.46844781048094</v>
      </c>
      <c r="V117" s="29" t="s">
        <v>345</v>
      </c>
      <c r="W117" s="29" t="s">
        <v>345</v>
      </c>
      <c r="X117" s="29" t="s">
        <v>345</v>
      </c>
      <c r="Y117" s="29" t="s">
        <v>345</v>
      </c>
      <c r="Z117" s="29">
        <v>0</v>
      </c>
      <c r="AA117" s="29">
        <v>0</v>
      </c>
      <c r="AB117" s="29">
        <v>0</v>
      </c>
      <c r="AC117" s="29">
        <v>0</v>
      </c>
      <c r="AD117" s="29">
        <v>0</v>
      </c>
      <c r="AE117" s="29">
        <v>0</v>
      </c>
      <c r="AF117" s="29">
        <v>0</v>
      </c>
      <c r="AG117" s="29">
        <v>0</v>
      </c>
      <c r="AH117" s="29">
        <v>144.49243163055922</v>
      </c>
      <c r="AI117" s="29">
        <v>333.90003232343213</v>
      </c>
      <c r="AJ117" s="29">
        <v>0</v>
      </c>
      <c r="AK117" s="29">
        <v>524.46844781048094</v>
      </c>
      <c r="AL117" s="29">
        <v>1002.8609117644723</v>
      </c>
      <c r="AM117" s="29">
        <v>696.52768207808106</v>
      </c>
      <c r="AN117" s="29">
        <v>106.63157506899125</v>
      </c>
      <c r="AO117" s="29">
        <v>0</v>
      </c>
      <c r="AP117" s="29">
        <v>0</v>
      </c>
      <c r="AQ117" s="29">
        <v>803.15925714707237</v>
      </c>
      <c r="AR117" s="29">
        <v>144.49243163055922</v>
      </c>
      <c r="AS117" s="33">
        <v>5.5584866839296057</v>
      </c>
      <c r="AT117" s="29">
        <v>696.52768207808106</v>
      </c>
      <c r="AU117" s="29">
        <v>126.22002467423219</v>
      </c>
      <c r="AV117" s="29">
        <v>0</v>
      </c>
      <c r="AW117" s="29">
        <v>0</v>
      </c>
      <c r="AX117" s="29">
        <v>822.74770675231321</v>
      </c>
      <c r="AY117" s="29">
        <v>333.90003232343213</v>
      </c>
      <c r="AZ117" s="33">
        <v>2.4640539895346851</v>
      </c>
      <c r="BA117" s="29">
        <v>696.52768207808106</v>
      </c>
      <c r="BB117" s="29">
        <v>232.85159974322346</v>
      </c>
      <c r="BC117" s="29">
        <v>0</v>
      </c>
      <c r="BD117" s="29">
        <v>0</v>
      </c>
      <c r="BE117" s="29">
        <v>929.3792818213044</v>
      </c>
      <c r="BF117" s="29">
        <v>478.39246395399135</v>
      </c>
      <c r="BG117" s="29">
        <v>13.323197363199506</v>
      </c>
      <c r="BH117" s="33">
        <v>1.9427130480690138</v>
      </c>
      <c r="BI117" s="29">
        <v>7.8402476520164006</v>
      </c>
      <c r="BJ117" s="29">
        <v>18.117619828873643</v>
      </c>
      <c r="BK117" s="29">
        <v>0</v>
      </c>
      <c r="BL117" s="29">
        <v>28.457978525936547</v>
      </c>
      <c r="BM117" s="29">
        <v>54.415846006826591</v>
      </c>
      <c r="BN117" s="29">
        <v>696.52768207808106</v>
      </c>
      <c r="BO117" s="29">
        <v>0</v>
      </c>
      <c r="BP117" s="29">
        <v>232.85159974322346</v>
      </c>
      <c r="BQ117" s="29">
        <v>0</v>
      </c>
      <c r="BR117" s="29">
        <v>0</v>
      </c>
      <c r="BS117" s="29">
        <v>0</v>
      </c>
      <c r="BT117" s="29">
        <v>0</v>
      </c>
      <c r="BU117" s="29">
        <v>0</v>
      </c>
      <c r="BV117" s="29">
        <v>-47.187189097933874</v>
      </c>
      <c r="BW117" s="29">
        <v>0</v>
      </c>
      <c r="BX117" s="29">
        <v>1002.8609117644723</v>
      </c>
      <c r="BY117" s="29"/>
      <c r="BZ117" s="29">
        <v>0</v>
      </c>
      <c r="CA117" s="29">
        <v>0</v>
      </c>
      <c r="CB117" s="29">
        <v>882.19209272337059</v>
      </c>
      <c r="CC117" s="29">
        <v>1002.8609117644723</v>
      </c>
      <c r="CD117" s="107">
        <v>0.88508257960564263</v>
      </c>
      <c r="CE117" s="29">
        <v>44.341581609736338</v>
      </c>
      <c r="CF117" s="29">
        <v>12.882917921456848</v>
      </c>
      <c r="CG117" s="29">
        <v>0</v>
      </c>
      <c r="CH117" s="29">
        <v>12.882917921456848</v>
      </c>
      <c r="CI117" s="29">
        <v>0.64413818131036871</v>
      </c>
      <c r="CJ117" s="29">
        <v>0</v>
      </c>
      <c r="CK117" s="29">
        <v>0.64413818131036871</v>
      </c>
      <c r="CL117" s="29"/>
      <c r="CM117" s="29">
        <v>0</v>
      </c>
      <c r="CN117" s="29"/>
      <c r="CO117" s="29">
        <v>0</v>
      </c>
      <c r="CP117" s="29">
        <v>0</v>
      </c>
      <c r="CQ117" s="29">
        <v>0</v>
      </c>
      <c r="CR117" s="29">
        <v>0</v>
      </c>
      <c r="CS117" s="29">
        <v>0</v>
      </c>
      <c r="CT117" s="29">
        <v>0</v>
      </c>
      <c r="CU117" s="29">
        <v>0</v>
      </c>
      <c r="CV117" s="29">
        <v>9999</v>
      </c>
      <c r="CW117" s="33">
        <v>9999</v>
      </c>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row>
    <row r="118" spans="1:131">
      <c r="A118" s="7" t="s">
        <v>474</v>
      </c>
      <c r="B118" s="7" t="s">
        <v>357</v>
      </c>
      <c r="C118" s="29">
        <v>13</v>
      </c>
      <c r="D118" s="29">
        <v>-343.38499278934376</v>
      </c>
      <c r="E118" s="29">
        <v>-0.68804709837682176</v>
      </c>
      <c r="F118" s="29">
        <v>0</v>
      </c>
      <c r="G118" s="29">
        <v>0</v>
      </c>
      <c r="H118" s="29">
        <v>0</v>
      </c>
      <c r="I118" s="29" t="s">
        <v>551</v>
      </c>
      <c r="J118" s="29"/>
      <c r="K118" s="29"/>
      <c r="L118" s="29">
        <v>-370.29977439822153</v>
      </c>
      <c r="M118" s="29">
        <v>-0.19363673692191155</v>
      </c>
      <c r="N118" s="29">
        <v>-0.19223915378996032</v>
      </c>
      <c r="O118" s="29">
        <v>-0.6949275708167939</v>
      </c>
      <c r="P118" s="29">
        <v>0</v>
      </c>
      <c r="Q118" s="29">
        <v>0</v>
      </c>
      <c r="R118" s="29">
        <v>0</v>
      </c>
      <c r="S118" s="29">
        <v>0</v>
      </c>
      <c r="T118" s="29">
        <v>0</v>
      </c>
      <c r="U118" s="29">
        <v>0</v>
      </c>
      <c r="V118" s="29" t="s">
        <v>345</v>
      </c>
      <c r="W118" s="29" t="s">
        <v>345</v>
      </c>
      <c r="X118" s="29" t="s">
        <v>345</v>
      </c>
      <c r="Y118" s="29" t="s">
        <v>345</v>
      </c>
      <c r="Z118" s="29">
        <v>0</v>
      </c>
      <c r="AA118" s="29">
        <v>0</v>
      </c>
      <c r="AB118" s="29">
        <v>0</v>
      </c>
      <c r="AC118" s="29">
        <v>0</v>
      </c>
      <c r="AD118" s="29">
        <v>0</v>
      </c>
      <c r="AE118" s="29">
        <v>0</v>
      </c>
      <c r="AF118" s="29">
        <v>0</v>
      </c>
      <c r="AG118" s="29">
        <v>0</v>
      </c>
      <c r="AH118" s="29">
        <v>0</v>
      </c>
      <c r="AI118" s="29">
        <v>0</v>
      </c>
      <c r="AJ118" s="29">
        <v>0</v>
      </c>
      <c r="AK118" s="29">
        <v>0</v>
      </c>
      <c r="AL118" s="29">
        <v>0</v>
      </c>
      <c r="AM118" s="29">
        <v>-195.04688493960978</v>
      </c>
      <c r="AN118" s="29">
        <v>-68.421247625729208</v>
      </c>
      <c r="AO118" s="29">
        <v>0</v>
      </c>
      <c r="AP118" s="29">
        <v>0</v>
      </c>
      <c r="AQ118" s="29">
        <v>-263.46813256533898</v>
      </c>
      <c r="AR118" s="29">
        <v>0</v>
      </c>
      <c r="AS118" s="107">
        <v>0</v>
      </c>
      <c r="AT118" s="29">
        <v>-195.04688493960978</v>
      </c>
      <c r="AU118" s="29">
        <v>-80.990377924865768</v>
      </c>
      <c r="AV118" s="29">
        <v>0</v>
      </c>
      <c r="AW118" s="29">
        <v>0</v>
      </c>
      <c r="AX118" s="29">
        <v>-276.03726286447557</v>
      </c>
      <c r="AY118" s="29">
        <v>0</v>
      </c>
      <c r="AZ118" s="107">
        <v>0</v>
      </c>
      <c r="BA118" s="29">
        <v>-195.04688493960978</v>
      </c>
      <c r="BB118" s="29">
        <v>-149.41162555059498</v>
      </c>
      <c r="BC118" s="29">
        <v>0</v>
      </c>
      <c r="BD118" s="29">
        <v>0</v>
      </c>
      <c r="BE118" s="29">
        <v>-344.45851049020479</v>
      </c>
      <c r="BF118" s="29">
        <v>0</v>
      </c>
      <c r="BG118" s="29">
        <v>9999</v>
      </c>
      <c r="BH118" s="107">
        <v>0</v>
      </c>
      <c r="BI118" s="29">
        <v>9999</v>
      </c>
      <c r="BJ118" s="29">
        <v>9999</v>
      </c>
      <c r="BK118" s="29">
        <v>9999</v>
      </c>
      <c r="BL118" s="29">
        <v>9999</v>
      </c>
      <c r="BM118" s="29">
        <v>9999</v>
      </c>
      <c r="BN118" s="29">
        <v>-195.04688493960978</v>
      </c>
      <c r="BO118" s="29">
        <v>-5.3924075551238468</v>
      </c>
      <c r="BP118" s="29">
        <v>-149.41162555059498</v>
      </c>
      <c r="BQ118" s="29">
        <v>0</v>
      </c>
      <c r="BR118" s="29">
        <v>0</v>
      </c>
      <c r="BS118" s="29">
        <v>0</v>
      </c>
      <c r="BT118" s="29">
        <v>0</v>
      </c>
      <c r="BU118" s="29">
        <v>0</v>
      </c>
      <c r="BV118" s="29">
        <v>-47.187189097933874</v>
      </c>
      <c r="BW118" s="29">
        <v>0</v>
      </c>
      <c r="BX118" s="29">
        <v>0</v>
      </c>
      <c r="BY118" s="29"/>
      <c r="BZ118" s="29">
        <v>0</v>
      </c>
      <c r="CA118" s="29">
        <v>0</v>
      </c>
      <c r="CB118" s="29">
        <v>-397.03810714326244</v>
      </c>
      <c r="CC118" s="29">
        <v>0</v>
      </c>
      <c r="CD118" s="107">
        <v>0</v>
      </c>
      <c r="CE118" s="29">
        <v>9999</v>
      </c>
      <c r="CF118" s="29">
        <v>-3.5178702976650689</v>
      </c>
      <c r="CG118" s="29">
        <v>-8.1306525785564757E-2</v>
      </c>
      <c r="CH118" s="29">
        <v>-3.5991768234506338</v>
      </c>
      <c r="CI118" s="29">
        <v>-0.17589239283915523</v>
      </c>
      <c r="CJ118" s="29">
        <v>-4.0653262892782448E-3</v>
      </c>
      <c r="CK118" s="29">
        <v>-0.17995771912843347</v>
      </c>
      <c r="CL118" s="29"/>
      <c r="CM118" s="29">
        <v>-0.68804709837682176</v>
      </c>
      <c r="CN118" s="29" t="s">
        <v>551</v>
      </c>
      <c r="CO118" s="29">
        <v>0</v>
      </c>
      <c r="CP118" s="29">
        <v>0</v>
      </c>
      <c r="CQ118" s="29">
        <v>-5.3924075551238468</v>
      </c>
      <c r="CR118" s="29">
        <v>0</v>
      </c>
      <c r="CS118" s="29">
        <v>0</v>
      </c>
      <c r="CT118" s="29">
        <v>-5.3924075551238468</v>
      </c>
      <c r="CU118" s="29">
        <v>0</v>
      </c>
      <c r="CV118" s="29">
        <v>9999</v>
      </c>
      <c r="CW118" s="107">
        <v>0</v>
      </c>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row>
    <row r="119" spans="1:131">
      <c r="A119" s="7" t="s">
        <v>474</v>
      </c>
      <c r="B119" s="7" t="s">
        <v>359</v>
      </c>
      <c r="C119" s="29">
        <v>13</v>
      </c>
      <c r="D119" s="29">
        <v>1.0000000000000001E-5</v>
      </c>
      <c r="E119" s="29">
        <v>0</v>
      </c>
      <c r="F119" s="29">
        <v>0</v>
      </c>
      <c r="G119" s="29">
        <v>0</v>
      </c>
      <c r="H119" s="29">
        <v>0</v>
      </c>
      <c r="I119" s="29" t="s">
        <v>552</v>
      </c>
      <c r="J119" s="29"/>
      <c r="K119" s="29"/>
      <c r="L119" s="29">
        <v>1.0717520953171996E-5</v>
      </c>
      <c r="M119" s="29">
        <v>0</v>
      </c>
      <c r="N119" s="29">
        <v>0</v>
      </c>
      <c r="O119" s="29">
        <v>0</v>
      </c>
      <c r="P119" s="29">
        <v>0</v>
      </c>
      <c r="Q119" s="29">
        <v>0</v>
      </c>
      <c r="R119" s="29">
        <v>0</v>
      </c>
      <c r="S119" s="29">
        <v>0</v>
      </c>
      <c r="T119" s="29">
        <v>0</v>
      </c>
      <c r="U119" s="29">
        <v>0</v>
      </c>
      <c r="V119" s="29" t="s">
        <v>345</v>
      </c>
      <c r="W119" s="29" t="s">
        <v>345</v>
      </c>
      <c r="X119" s="29" t="s">
        <v>345</v>
      </c>
      <c r="Y119" s="29" t="s">
        <v>345</v>
      </c>
      <c r="Z119" s="29">
        <v>0</v>
      </c>
      <c r="AA119" s="29">
        <v>0</v>
      </c>
      <c r="AB119" s="29">
        <v>0</v>
      </c>
      <c r="AC119" s="29">
        <v>0</v>
      </c>
      <c r="AD119" s="29">
        <v>0</v>
      </c>
      <c r="AE119" s="29">
        <v>0</v>
      </c>
      <c r="AF119" s="29">
        <v>0</v>
      </c>
      <c r="AG119" s="29">
        <v>0</v>
      </c>
      <c r="AH119" s="29">
        <v>0</v>
      </c>
      <c r="AI119" s="29">
        <v>0</v>
      </c>
      <c r="AJ119" s="29">
        <v>0</v>
      </c>
      <c r="AK119" s="29">
        <v>0</v>
      </c>
      <c r="AL119" s="29">
        <v>0</v>
      </c>
      <c r="AM119" s="29">
        <v>5.5800831647479789E-6</v>
      </c>
      <c r="AN119" s="29">
        <v>0</v>
      </c>
      <c r="AO119" s="29">
        <v>0</v>
      </c>
      <c r="AP119" s="29">
        <v>0</v>
      </c>
      <c r="AQ119" s="29">
        <v>5.5800831647479789E-6</v>
      </c>
      <c r="AR119" s="29">
        <v>0</v>
      </c>
      <c r="AS119" s="33">
        <v>9999</v>
      </c>
      <c r="AT119" s="29">
        <v>5.5800831647479789E-6</v>
      </c>
      <c r="AU119" s="29">
        <v>0</v>
      </c>
      <c r="AV119" s="29">
        <v>0</v>
      </c>
      <c r="AW119" s="29">
        <v>0</v>
      </c>
      <c r="AX119" s="29">
        <v>5.5800831647479789E-6</v>
      </c>
      <c r="AY119" s="29">
        <v>0</v>
      </c>
      <c r="AZ119" s="33">
        <v>9999</v>
      </c>
      <c r="BA119" s="29">
        <v>5.5800831647479789E-6</v>
      </c>
      <c r="BB119" s="29">
        <v>0</v>
      </c>
      <c r="BC119" s="29">
        <v>0</v>
      </c>
      <c r="BD119" s="29">
        <v>0</v>
      </c>
      <c r="BE119" s="29">
        <v>5.5800831647479789E-6</v>
      </c>
      <c r="BF119" s="29">
        <v>0</v>
      </c>
      <c r="BG119" s="29">
        <v>0</v>
      </c>
      <c r="BH119" s="33">
        <v>9999</v>
      </c>
      <c r="BI119" s="29">
        <v>0</v>
      </c>
      <c r="BJ119" s="29">
        <v>0</v>
      </c>
      <c r="BK119" s="29">
        <v>0</v>
      </c>
      <c r="BL119" s="29">
        <v>0</v>
      </c>
      <c r="BM119" s="29">
        <v>0</v>
      </c>
      <c r="BN119" s="29">
        <v>5.5800831647479789E-6</v>
      </c>
      <c r="BO119" s="29">
        <v>0</v>
      </c>
      <c r="BP119" s="29">
        <v>0</v>
      </c>
      <c r="BQ119" s="29">
        <v>0</v>
      </c>
      <c r="BR119" s="29">
        <v>0</v>
      </c>
      <c r="BS119" s="29">
        <v>0</v>
      </c>
      <c r="BT119" s="29">
        <v>0</v>
      </c>
      <c r="BU119" s="29">
        <v>0</v>
      </c>
      <c r="BV119" s="29">
        <v>-47.187189097933874</v>
      </c>
      <c r="BW119" s="29">
        <v>0</v>
      </c>
      <c r="BX119" s="29">
        <v>0</v>
      </c>
      <c r="BY119" s="29"/>
      <c r="BZ119" s="29">
        <v>0</v>
      </c>
      <c r="CA119" s="29">
        <v>0</v>
      </c>
      <c r="CB119" s="29">
        <v>-47.187183517850713</v>
      </c>
      <c r="CC119" s="29">
        <v>0</v>
      </c>
      <c r="CD119" s="107">
        <v>1.1825419719676217E-7</v>
      </c>
      <c r="CE119" s="29">
        <v>323966333.45385218</v>
      </c>
      <c r="CF119" s="29">
        <v>1.018228403603893E-7</v>
      </c>
      <c r="CG119" s="29">
        <v>0</v>
      </c>
      <c r="CH119" s="29">
        <v>1.018228403603893E-7</v>
      </c>
      <c r="CI119" s="29">
        <v>5.090822452756698E-9</v>
      </c>
      <c r="CJ119" s="29">
        <v>0</v>
      </c>
      <c r="CK119" s="29">
        <v>5.090822452756698E-9</v>
      </c>
      <c r="CL119" s="29"/>
      <c r="CM119" s="29">
        <v>0</v>
      </c>
      <c r="CN119" s="29"/>
      <c r="CO119" s="29">
        <v>0</v>
      </c>
      <c r="CP119" s="29">
        <v>0</v>
      </c>
      <c r="CQ119" s="29">
        <v>0</v>
      </c>
      <c r="CR119" s="29">
        <v>0</v>
      </c>
      <c r="CS119" s="29">
        <v>0</v>
      </c>
      <c r="CT119" s="29">
        <v>0</v>
      </c>
      <c r="CU119" s="29">
        <v>0</v>
      </c>
      <c r="CV119" s="29">
        <v>9999</v>
      </c>
      <c r="CW119" s="33">
        <v>9999</v>
      </c>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row>
    <row r="120" spans="1:131">
      <c r="A120" s="7" t="s">
        <v>475</v>
      </c>
      <c r="B120" s="7" t="s">
        <v>356</v>
      </c>
      <c r="C120" s="29">
        <v>13</v>
      </c>
      <c r="D120" s="29">
        <v>1249.1975039460601</v>
      </c>
      <c r="E120" s="29">
        <v>0</v>
      </c>
      <c r="F120" s="29">
        <v>724.58752370386082</v>
      </c>
      <c r="G120" s="29">
        <v>0</v>
      </c>
      <c r="H120" s="29">
        <v>0</v>
      </c>
      <c r="I120" s="29" t="s">
        <v>569</v>
      </c>
      <c r="J120" s="29"/>
      <c r="K120" s="29"/>
      <c r="L120" s="29">
        <v>1341.3334332068705</v>
      </c>
      <c r="M120" s="29">
        <v>0.29849283256234388</v>
      </c>
      <c r="N120" s="29">
        <v>0.29633844515410274</v>
      </c>
      <c r="O120" s="29">
        <v>0</v>
      </c>
      <c r="P120" s="29">
        <v>0</v>
      </c>
      <c r="Q120" s="29">
        <v>0</v>
      </c>
      <c r="R120" s="29">
        <v>144.49243163055922</v>
      </c>
      <c r="S120" s="29">
        <v>333.90003232343213</v>
      </c>
      <c r="T120" s="29">
        <v>0</v>
      </c>
      <c r="U120" s="29">
        <v>524.46844781048094</v>
      </c>
      <c r="V120" s="29" t="s">
        <v>345</v>
      </c>
      <c r="W120" s="29" t="s">
        <v>345</v>
      </c>
      <c r="X120" s="29" t="s">
        <v>345</v>
      </c>
      <c r="Y120" s="29" t="s">
        <v>345</v>
      </c>
      <c r="Z120" s="29">
        <v>0</v>
      </c>
      <c r="AA120" s="29">
        <v>0</v>
      </c>
      <c r="AB120" s="29">
        <v>0</v>
      </c>
      <c r="AC120" s="29">
        <v>0</v>
      </c>
      <c r="AD120" s="29">
        <v>0</v>
      </c>
      <c r="AE120" s="29">
        <v>0</v>
      </c>
      <c r="AF120" s="29">
        <v>0</v>
      </c>
      <c r="AG120" s="29">
        <v>0</v>
      </c>
      <c r="AH120" s="29">
        <v>144.49243163055922</v>
      </c>
      <c r="AI120" s="29">
        <v>333.90003232343213</v>
      </c>
      <c r="AJ120" s="29">
        <v>0</v>
      </c>
      <c r="AK120" s="29">
        <v>524.46844781048094</v>
      </c>
      <c r="AL120" s="29">
        <v>1002.8609117644723</v>
      </c>
      <c r="AM120" s="29">
        <v>688.9531621643514</v>
      </c>
      <c r="AN120" s="29">
        <v>105.47199016005729</v>
      </c>
      <c r="AO120" s="29">
        <v>0</v>
      </c>
      <c r="AP120" s="29">
        <v>0</v>
      </c>
      <c r="AQ120" s="29">
        <v>794.42515232440871</v>
      </c>
      <c r="AR120" s="29">
        <v>144.49243163055922</v>
      </c>
      <c r="AS120" s="33">
        <v>5.4980398859617008</v>
      </c>
      <c r="AT120" s="29">
        <v>688.9531621643514</v>
      </c>
      <c r="AU120" s="29">
        <v>124.84742152434147</v>
      </c>
      <c r="AV120" s="29">
        <v>0</v>
      </c>
      <c r="AW120" s="29">
        <v>0</v>
      </c>
      <c r="AX120" s="29">
        <v>813.80058368869288</v>
      </c>
      <c r="AY120" s="29">
        <v>333.90003232343213</v>
      </c>
      <c r="AZ120" s="33">
        <v>2.4372581758255274</v>
      </c>
      <c r="BA120" s="29">
        <v>688.9531621643514</v>
      </c>
      <c r="BB120" s="29">
        <v>230.31941168439874</v>
      </c>
      <c r="BC120" s="29">
        <v>0</v>
      </c>
      <c r="BD120" s="29">
        <v>0</v>
      </c>
      <c r="BE120" s="29">
        <v>919.2725738487502</v>
      </c>
      <c r="BF120" s="29">
        <v>478.39246395399135</v>
      </c>
      <c r="BG120" s="29">
        <v>13.608584520048145</v>
      </c>
      <c r="BH120" s="33">
        <v>1.9215866534577346</v>
      </c>
      <c r="BI120" s="29">
        <v>7.9264452561934569</v>
      </c>
      <c r="BJ120" s="29">
        <v>18.316809381545234</v>
      </c>
      <c r="BK120" s="29">
        <v>0</v>
      </c>
      <c r="BL120" s="29">
        <v>28.770852516342572</v>
      </c>
      <c r="BM120" s="29">
        <v>55.014107154081266</v>
      </c>
      <c r="BN120" s="29">
        <v>688.9531621643514</v>
      </c>
      <c r="BO120" s="29">
        <v>0</v>
      </c>
      <c r="BP120" s="29">
        <v>230.31941168439874</v>
      </c>
      <c r="BQ120" s="29">
        <v>0</v>
      </c>
      <c r="BR120" s="29">
        <v>0</v>
      </c>
      <c r="BS120" s="29">
        <v>0</v>
      </c>
      <c r="BT120" s="29">
        <v>0</v>
      </c>
      <c r="BU120" s="29">
        <v>0</v>
      </c>
      <c r="BV120" s="29">
        <v>-25.055974974442368</v>
      </c>
      <c r="BW120" s="29">
        <v>0</v>
      </c>
      <c r="BX120" s="29">
        <v>1002.8609117644723</v>
      </c>
      <c r="BY120" s="29"/>
      <c r="BZ120" s="29">
        <v>0</v>
      </c>
      <c r="CA120" s="29">
        <v>0</v>
      </c>
      <c r="CB120" s="29">
        <v>894.21659887430781</v>
      </c>
      <c r="CC120" s="29">
        <v>1002.8609117644723</v>
      </c>
      <c r="CD120" s="107">
        <v>0.89430632545123323</v>
      </c>
      <c r="CE120" s="29">
        <v>43.753936805923757</v>
      </c>
      <c r="CF120" s="29">
        <v>12.742820232802314</v>
      </c>
      <c r="CG120" s="29">
        <v>0</v>
      </c>
      <c r="CH120" s="29">
        <v>12.742820232802314</v>
      </c>
      <c r="CI120" s="29">
        <v>0.63713338077326309</v>
      </c>
      <c r="CJ120" s="29">
        <v>0</v>
      </c>
      <c r="CK120" s="29">
        <v>0.63713338077326309</v>
      </c>
      <c r="CL120" s="29"/>
      <c r="CM120" s="29">
        <v>0</v>
      </c>
      <c r="CN120" s="29"/>
      <c r="CO120" s="29">
        <v>0</v>
      </c>
      <c r="CP120" s="29">
        <v>0</v>
      </c>
      <c r="CQ120" s="29">
        <v>0</v>
      </c>
      <c r="CR120" s="29">
        <v>0</v>
      </c>
      <c r="CS120" s="29">
        <v>0</v>
      </c>
      <c r="CT120" s="29">
        <v>0</v>
      </c>
      <c r="CU120" s="29">
        <v>0</v>
      </c>
      <c r="CV120" s="29">
        <v>9999</v>
      </c>
      <c r="CW120" s="33">
        <v>9999</v>
      </c>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row>
    <row r="121" spans="1:131">
      <c r="A121" s="7" t="s">
        <v>475</v>
      </c>
      <c r="B121" s="7" t="s">
        <v>357</v>
      </c>
      <c r="C121" s="29">
        <v>13</v>
      </c>
      <c r="D121" s="29">
        <v>-182.52849826785342</v>
      </c>
      <c r="E121" s="29">
        <v>-0.34795232134875137</v>
      </c>
      <c r="F121" s="29">
        <v>0</v>
      </c>
      <c r="G121" s="29">
        <v>0</v>
      </c>
      <c r="H121" s="29">
        <v>0</v>
      </c>
      <c r="I121" s="29" t="s">
        <v>552</v>
      </c>
      <c r="J121" s="29"/>
      <c r="K121" s="29"/>
      <c r="L121" s="29">
        <v>-195.62530047367372</v>
      </c>
      <c r="M121" s="29">
        <v>0</v>
      </c>
      <c r="N121" s="29">
        <v>0</v>
      </c>
      <c r="O121" s="29">
        <v>-0.35143184325305316</v>
      </c>
      <c r="P121" s="29">
        <v>0</v>
      </c>
      <c r="Q121" s="29">
        <v>0</v>
      </c>
      <c r="R121" s="29">
        <v>0</v>
      </c>
      <c r="S121" s="29">
        <v>0</v>
      </c>
      <c r="T121" s="29">
        <v>0</v>
      </c>
      <c r="U121" s="29">
        <v>0</v>
      </c>
      <c r="V121" s="29" t="s">
        <v>345</v>
      </c>
      <c r="W121" s="29" t="s">
        <v>345</v>
      </c>
      <c r="X121" s="29" t="s">
        <v>345</v>
      </c>
      <c r="Y121" s="29" t="s">
        <v>345</v>
      </c>
      <c r="Z121" s="29">
        <v>0</v>
      </c>
      <c r="AA121" s="29">
        <v>0</v>
      </c>
      <c r="AB121" s="29">
        <v>0</v>
      </c>
      <c r="AC121" s="29">
        <v>0</v>
      </c>
      <c r="AD121" s="29">
        <v>0</v>
      </c>
      <c r="AE121" s="29">
        <v>0</v>
      </c>
      <c r="AF121" s="29">
        <v>0</v>
      </c>
      <c r="AG121" s="29">
        <v>0</v>
      </c>
      <c r="AH121" s="29">
        <v>0</v>
      </c>
      <c r="AI121" s="29">
        <v>0</v>
      </c>
      <c r="AJ121" s="29">
        <v>0</v>
      </c>
      <c r="AK121" s="29">
        <v>0</v>
      </c>
      <c r="AL121" s="29">
        <v>0</v>
      </c>
      <c r="AM121" s="29">
        <v>-101.85242002711801</v>
      </c>
      <c r="AN121" s="29">
        <v>0</v>
      </c>
      <c r="AO121" s="29">
        <v>0</v>
      </c>
      <c r="AP121" s="29">
        <v>0</v>
      </c>
      <c r="AQ121" s="29">
        <v>-101.85242002711801</v>
      </c>
      <c r="AR121" s="29">
        <v>0</v>
      </c>
      <c r="AS121" s="107">
        <v>0</v>
      </c>
      <c r="AT121" s="29">
        <v>-101.85242002711801</v>
      </c>
      <c r="AU121" s="29">
        <v>0</v>
      </c>
      <c r="AV121" s="29">
        <v>0</v>
      </c>
      <c r="AW121" s="29">
        <v>0</v>
      </c>
      <c r="AX121" s="29">
        <v>-101.85242002711801</v>
      </c>
      <c r="AY121" s="29">
        <v>0</v>
      </c>
      <c r="AZ121" s="107">
        <v>0</v>
      </c>
      <c r="BA121" s="29">
        <v>-101.85242002711801</v>
      </c>
      <c r="BB121" s="29">
        <v>0</v>
      </c>
      <c r="BC121" s="29">
        <v>0</v>
      </c>
      <c r="BD121" s="29">
        <v>0</v>
      </c>
      <c r="BE121" s="29">
        <v>-101.85242002711801</v>
      </c>
      <c r="BF121" s="29">
        <v>0</v>
      </c>
      <c r="BG121" s="29">
        <v>9999</v>
      </c>
      <c r="BH121" s="107">
        <v>0</v>
      </c>
      <c r="BI121" s="29">
        <v>9999</v>
      </c>
      <c r="BJ121" s="29">
        <v>9999</v>
      </c>
      <c r="BK121" s="29">
        <v>9999</v>
      </c>
      <c r="BL121" s="29">
        <v>9999</v>
      </c>
      <c r="BM121" s="29">
        <v>9999</v>
      </c>
      <c r="BN121" s="29">
        <v>-101.85242002711801</v>
      </c>
      <c r="BO121" s="29">
        <v>-2.6917423352176546</v>
      </c>
      <c r="BP121" s="29">
        <v>0</v>
      </c>
      <c r="BQ121" s="29">
        <v>0</v>
      </c>
      <c r="BR121" s="29">
        <v>0</v>
      </c>
      <c r="BS121" s="29">
        <v>0</v>
      </c>
      <c r="BT121" s="29">
        <v>0</v>
      </c>
      <c r="BU121" s="29">
        <v>0</v>
      </c>
      <c r="BV121" s="29">
        <v>-25.055974974442368</v>
      </c>
      <c r="BW121" s="29">
        <v>0</v>
      </c>
      <c r="BX121" s="29">
        <v>0</v>
      </c>
      <c r="BY121" s="29"/>
      <c r="BZ121" s="29">
        <v>0</v>
      </c>
      <c r="CA121" s="29">
        <v>0</v>
      </c>
      <c r="CB121" s="29">
        <v>-129.60013733677803</v>
      </c>
      <c r="CC121" s="29">
        <v>0</v>
      </c>
      <c r="CD121" s="107">
        <v>0</v>
      </c>
      <c r="CE121" s="29">
        <v>9999</v>
      </c>
      <c r="CF121" s="29">
        <v>-1.8585570140349204</v>
      </c>
      <c r="CG121" s="29">
        <v>-4.1117525660607286E-2</v>
      </c>
      <c r="CH121" s="29">
        <v>-1.8996745396955277</v>
      </c>
      <c r="CI121" s="29">
        <v>-9.2922017724995018E-2</v>
      </c>
      <c r="CJ121" s="29">
        <v>-2.0558762830303616E-3</v>
      </c>
      <c r="CK121" s="29">
        <v>-9.4977894008025379E-2</v>
      </c>
      <c r="CL121" s="29"/>
      <c r="CM121" s="29">
        <v>-0.34795232134875137</v>
      </c>
      <c r="CN121" s="29" t="s">
        <v>553</v>
      </c>
      <c r="CO121" s="29">
        <v>0</v>
      </c>
      <c r="CP121" s="29">
        <v>0</v>
      </c>
      <c r="CQ121" s="29">
        <v>-2.6917423352176546</v>
      </c>
      <c r="CR121" s="29">
        <v>0</v>
      </c>
      <c r="CS121" s="29">
        <v>0</v>
      </c>
      <c r="CT121" s="29">
        <v>-2.6917423352176546</v>
      </c>
      <c r="CU121" s="29">
        <v>0</v>
      </c>
      <c r="CV121" s="29">
        <v>9999</v>
      </c>
      <c r="CW121" s="107">
        <v>0</v>
      </c>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row>
    <row r="122" spans="1:131">
      <c r="A122" s="7" t="s">
        <v>475</v>
      </c>
      <c r="B122" s="7" t="s">
        <v>359</v>
      </c>
      <c r="C122" s="29">
        <v>13</v>
      </c>
      <c r="D122" s="29">
        <v>30.673640966300958</v>
      </c>
      <c r="E122" s="29">
        <v>0</v>
      </c>
      <c r="F122" s="29">
        <v>0</v>
      </c>
      <c r="G122" s="29">
        <v>0</v>
      </c>
      <c r="H122" s="29">
        <v>0</v>
      </c>
      <c r="I122" s="29" t="s">
        <v>552</v>
      </c>
      <c r="J122" s="29"/>
      <c r="K122" s="29"/>
      <c r="L122" s="29">
        <v>32.874538976640537</v>
      </c>
      <c r="M122" s="29">
        <v>0</v>
      </c>
      <c r="N122" s="29">
        <v>0</v>
      </c>
      <c r="O122" s="29">
        <v>0</v>
      </c>
      <c r="P122" s="29">
        <v>0</v>
      </c>
      <c r="Q122" s="29">
        <v>0</v>
      </c>
      <c r="R122" s="29">
        <v>0</v>
      </c>
      <c r="S122" s="29">
        <v>0</v>
      </c>
      <c r="T122" s="29">
        <v>0</v>
      </c>
      <c r="U122" s="29">
        <v>0</v>
      </c>
      <c r="V122" s="29" t="s">
        <v>345</v>
      </c>
      <c r="W122" s="29" t="s">
        <v>345</v>
      </c>
      <c r="X122" s="29" t="s">
        <v>345</v>
      </c>
      <c r="Y122" s="29" t="s">
        <v>345</v>
      </c>
      <c r="Z122" s="29">
        <v>0</v>
      </c>
      <c r="AA122" s="29">
        <v>0</v>
      </c>
      <c r="AB122" s="29">
        <v>0</v>
      </c>
      <c r="AC122" s="29">
        <v>0</v>
      </c>
      <c r="AD122" s="29">
        <v>0</v>
      </c>
      <c r="AE122" s="29">
        <v>0</v>
      </c>
      <c r="AF122" s="29">
        <v>0</v>
      </c>
      <c r="AG122" s="29">
        <v>0</v>
      </c>
      <c r="AH122" s="29">
        <v>0</v>
      </c>
      <c r="AI122" s="29">
        <v>0</v>
      </c>
      <c r="AJ122" s="29">
        <v>0</v>
      </c>
      <c r="AK122" s="29">
        <v>0</v>
      </c>
      <c r="AL122" s="29">
        <v>0</v>
      </c>
      <c r="AM122" s="29">
        <v>17.116146755757999</v>
      </c>
      <c r="AN122" s="29">
        <v>0</v>
      </c>
      <c r="AO122" s="29">
        <v>0</v>
      </c>
      <c r="AP122" s="29">
        <v>0</v>
      </c>
      <c r="AQ122" s="29">
        <v>17.116146755757999</v>
      </c>
      <c r="AR122" s="29">
        <v>0</v>
      </c>
      <c r="AS122" s="33">
        <v>9999</v>
      </c>
      <c r="AT122" s="29">
        <v>17.116146755757999</v>
      </c>
      <c r="AU122" s="29">
        <v>0</v>
      </c>
      <c r="AV122" s="29">
        <v>0</v>
      </c>
      <c r="AW122" s="29">
        <v>0</v>
      </c>
      <c r="AX122" s="29">
        <v>17.116146755757999</v>
      </c>
      <c r="AY122" s="29">
        <v>0</v>
      </c>
      <c r="AZ122" s="33">
        <v>9999</v>
      </c>
      <c r="BA122" s="29">
        <v>17.116146755757999</v>
      </c>
      <c r="BB122" s="29">
        <v>0</v>
      </c>
      <c r="BC122" s="29">
        <v>0</v>
      </c>
      <c r="BD122" s="29">
        <v>0</v>
      </c>
      <c r="BE122" s="29">
        <v>17.116146755757999</v>
      </c>
      <c r="BF122" s="29">
        <v>0</v>
      </c>
      <c r="BG122" s="29">
        <v>0</v>
      </c>
      <c r="BH122" s="33">
        <v>9999</v>
      </c>
      <c r="BI122" s="29">
        <v>0</v>
      </c>
      <c r="BJ122" s="29">
        <v>0</v>
      </c>
      <c r="BK122" s="29">
        <v>0</v>
      </c>
      <c r="BL122" s="29">
        <v>0</v>
      </c>
      <c r="BM122" s="29">
        <v>0</v>
      </c>
      <c r="BN122" s="29">
        <v>17.116146755757999</v>
      </c>
      <c r="BO122" s="29">
        <v>0</v>
      </c>
      <c r="BP122" s="29">
        <v>0</v>
      </c>
      <c r="BQ122" s="29">
        <v>0</v>
      </c>
      <c r="BR122" s="29">
        <v>0</v>
      </c>
      <c r="BS122" s="29">
        <v>0</v>
      </c>
      <c r="BT122" s="29">
        <v>0</v>
      </c>
      <c r="BU122" s="29">
        <v>0</v>
      </c>
      <c r="BV122" s="29">
        <v>-25.055974974442368</v>
      </c>
      <c r="BW122" s="29">
        <v>0</v>
      </c>
      <c r="BX122" s="29">
        <v>0</v>
      </c>
      <c r="BY122" s="29"/>
      <c r="BZ122" s="29">
        <v>0</v>
      </c>
      <c r="CA122" s="29">
        <v>0</v>
      </c>
      <c r="CB122" s="29">
        <v>-7.9398282186843687</v>
      </c>
      <c r="CC122" s="29">
        <v>0</v>
      </c>
      <c r="CD122" s="107">
        <v>0.6831163733687009</v>
      </c>
      <c r="CE122" s="29">
        <v>56.081774899408657</v>
      </c>
      <c r="CF122" s="29">
        <v>0.31232772473835563</v>
      </c>
      <c r="CG122" s="29">
        <v>0</v>
      </c>
      <c r="CH122" s="29">
        <v>0.31232772473835563</v>
      </c>
      <c r="CI122" s="29">
        <v>1.5615406013904256E-2</v>
      </c>
      <c r="CJ122" s="29">
        <v>0</v>
      </c>
      <c r="CK122" s="29">
        <v>1.5615406013904256E-2</v>
      </c>
      <c r="CL122" s="29"/>
      <c r="CM122" s="29">
        <v>0</v>
      </c>
      <c r="CN122" s="29"/>
      <c r="CO122" s="29">
        <v>0</v>
      </c>
      <c r="CP122" s="29">
        <v>0</v>
      </c>
      <c r="CQ122" s="29">
        <v>0</v>
      </c>
      <c r="CR122" s="29">
        <v>0</v>
      </c>
      <c r="CS122" s="29">
        <v>0</v>
      </c>
      <c r="CT122" s="29">
        <v>0</v>
      </c>
      <c r="CU122" s="29">
        <v>0</v>
      </c>
      <c r="CV122" s="29">
        <v>9999</v>
      </c>
      <c r="CW122" s="33">
        <v>9999</v>
      </c>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row>
    <row r="123" spans="1:131">
      <c r="A123" s="7" t="s">
        <v>476</v>
      </c>
      <c r="B123" s="7" t="s">
        <v>356</v>
      </c>
      <c r="C123" s="29">
        <v>13</v>
      </c>
      <c r="D123" s="29">
        <v>1262.8980680876891</v>
      </c>
      <c r="E123" s="29">
        <v>0</v>
      </c>
      <c r="F123" s="29">
        <v>724.58752370386082</v>
      </c>
      <c r="G123" s="29">
        <v>0</v>
      </c>
      <c r="H123" s="29">
        <v>0</v>
      </c>
      <c r="I123" s="29" t="s">
        <v>569</v>
      </c>
      <c r="J123" s="29"/>
      <c r="K123" s="29"/>
      <c r="L123" s="29">
        <v>1356.0444974532459</v>
      </c>
      <c r="M123" s="29">
        <v>0.30176655043755468</v>
      </c>
      <c r="N123" s="29">
        <v>0.299588534801768</v>
      </c>
      <c r="O123" s="29">
        <v>0</v>
      </c>
      <c r="P123" s="29">
        <v>0</v>
      </c>
      <c r="Q123" s="29">
        <v>0</v>
      </c>
      <c r="R123" s="29">
        <v>144.49243163055922</v>
      </c>
      <c r="S123" s="29">
        <v>333.90003232343213</v>
      </c>
      <c r="T123" s="29">
        <v>0</v>
      </c>
      <c r="U123" s="29">
        <v>524.46844781048094</v>
      </c>
      <c r="V123" s="29" t="s">
        <v>345</v>
      </c>
      <c r="W123" s="29" t="s">
        <v>345</v>
      </c>
      <c r="X123" s="29" t="s">
        <v>345</v>
      </c>
      <c r="Y123" s="29" t="s">
        <v>345</v>
      </c>
      <c r="Z123" s="29">
        <v>0</v>
      </c>
      <c r="AA123" s="29">
        <v>0</v>
      </c>
      <c r="AB123" s="29">
        <v>0</v>
      </c>
      <c r="AC123" s="29">
        <v>0</v>
      </c>
      <c r="AD123" s="29">
        <v>0</v>
      </c>
      <c r="AE123" s="29">
        <v>0</v>
      </c>
      <c r="AF123" s="29">
        <v>0</v>
      </c>
      <c r="AG123" s="29">
        <v>0</v>
      </c>
      <c r="AH123" s="29">
        <v>144.49243163055922</v>
      </c>
      <c r="AI123" s="29">
        <v>333.90003232343213</v>
      </c>
      <c r="AJ123" s="29">
        <v>0</v>
      </c>
      <c r="AK123" s="29">
        <v>524.46844781048094</v>
      </c>
      <c r="AL123" s="29">
        <v>1002.8609117644723</v>
      </c>
      <c r="AM123" s="29">
        <v>696.50925074041231</v>
      </c>
      <c r="AN123" s="29">
        <v>106.62875341147951</v>
      </c>
      <c r="AO123" s="29">
        <v>0</v>
      </c>
      <c r="AP123" s="29">
        <v>0</v>
      </c>
      <c r="AQ123" s="29">
        <v>803.13800415189178</v>
      </c>
      <c r="AR123" s="29">
        <v>144.49243163055922</v>
      </c>
      <c r="AS123" s="33">
        <v>5.5583395966743021</v>
      </c>
      <c r="AT123" s="29">
        <v>696.50925074041231</v>
      </c>
      <c r="AU123" s="29">
        <v>126.2166846721688</v>
      </c>
      <c r="AV123" s="29">
        <v>0</v>
      </c>
      <c r="AW123" s="29">
        <v>0</v>
      </c>
      <c r="AX123" s="29">
        <v>822.72593541258107</v>
      </c>
      <c r="AY123" s="29">
        <v>333.90003232343213</v>
      </c>
      <c r="AZ123" s="33">
        <v>2.4639887863671959</v>
      </c>
      <c r="BA123" s="29">
        <v>696.50925074041231</v>
      </c>
      <c r="BB123" s="29">
        <v>232.8454380836483</v>
      </c>
      <c r="BC123" s="29">
        <v>0</v>
      </c>
      <c r="BD123" s="29">
        <v>0</v>
      </c>
      <c r="BE123" s="29">
        <v>929.35468882406053</v>
      </c>
      <c r="BF123" s="29">
        <v>478.39246395399135</v>
      </c>
      <c r="BG123" s="29">
        <v>13.323884271837402</v>
      </c>
      <c r="BH123" s="33">
        <v>1.9426616404923966</v>
      </c>
      <c r="BI123" s="29">
        <v>7.8404551241378835</v>
      </c>
      <c r="BJ123" s="29">
        <v>18.118099265390061</v>
      </c>
      <c r="BK123" s="29">
        <v>0</v>
      </c>
      <c r="BL123" s="29">
        <v>28.458731593625217</v>
      </c>
      <c r="BM123" s="29">
        <v>54.417285983153164</v>
      </c>
      <c r="BN123" s="29">
        <v>696.50925074041231</v>
      </c>
      <c r="BO123" s="29">
        <v>0</v>
      </c>
      <c r="BP123" s="29">
        <v>232.8454380836483</v>
      </c>
      <c r="BQ123" s="29">
        <v>0</v>
      </c>
      <c r="BR123" s="29">
        <v>0</v>
      </c>
      <c r="BS123" s="29">
        <v>0</v>
      </c>
      <c r="BT123" s="29">
        <v>0</v>
      </c>
      <c r="BU123" s="29">
        <v>0</v>
      </c>
      <c r="BV123" s="29">
        <v>-42.073997181816281</v>
      </c>
      <c r="BW123" s="29">
        <v>0</v>
      </c>
      <c r="BX123" s="29">
        <v>1002.8609117644723</v>
      </c>
      <c r="BY123" s="29"/>
      <c r="BZ123" s="29">
        <v>0</v>
      </c>
      <c r="CA123" s="29">
        <v>0</v>
      </c>
      <c r="CB123" s="29">
        <v>887.28069164224428</v>
      </c>
      <c r="CC123" s="29">
        <v>1002.8609117644723</v>
      </c>
      <c r="CD123" s="107">
        <v>0.8893900288595209</v>
      </c>
      <c r="CE123" s="29">
        <v>44.065637080307809</v>
      </c>
      <c r="CF123" s="29">
        <v>12.882577016972377</v>
      </c>
      <c r="CG123" s="29">
        <v>0</v>
      </c>
      <c r="CH123" s="29">
        <v>12.882577016972377</v>
      </c>
      <c r="CI123" s="29">
        <v>0.64412113629029155</v>
      </c>
      <c r="CJ123" s="29">
        <v>0</v>
      </c>
      <c r="CK123" s="29">
        <v>0.64412113629029155</v>
      </c>
      <c r="CL123" s="29"/>
      <c r="CM123" s="29">
        <v>0</v>
      </c>
      <c r="CN123" s="29"/>
      <c r="CO123" s="29">
        <v>0</v>
      </c>
      <c r="CP123" s="29">
        <v>0</v>
      </c>
      <c r="CQ123" s="29">
        <v>0</v>
      </c>
      <c r="CR123" s="29">
        <v>0</v>
      </c>
      <c r="CS123" s="29">
        <v>0</v>
      </c>
      <c r="CT123" s="29">
        <v>0</v>
      </c>
      <c r="CU123" s="29">
        <v>0</v>
      </c>
      <c r="CV123" s="29">
        <v>9999</v>
      </c>
      <c r="CW123" s="33">
        <v>9999</v>
      </c>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row>
    <row r="124" spans="1:131">
      <c r="A124" s="7" t="s">
        <v>476</v>
      </c>
      <c r="B124" s="7" t="s">
        <v>357</v>
      </c>
      <c r="C124" s="29">
        <v>13</v>
      </c>
      <c r="D124" s="29">
        <v>-306.17072788868097</v>
      </c>
      <c r="E124" s="29">
        <v>-0.61395224043789309</v>
      </c>
      <c r="F124" s="29">
        <v>0</v>
      </c>
      <c r="G124" s="29">
        <v>0</v>
      </c>
      <c r="H124" s="29">
        <v>0</v>
      </c>
      <c r="I124" s="29" t="s">
        <v>554</v>
      </c>
      <c r="J124" s="29"/>
      <c r="K124" s="29"/>
      <c r="L124" s="29">
        <v>-330.01776288007693</v>
      </c>
      <c r="M124" s="29">
        <v>-0.122929214754066</v>
      </c>
      <c r="N124" s="29">
        <v>-0.12204196680878807</v>
      </c>
      <c r="O124" s="29">
        <v>-0.6200917606766263</v>
      </c>
      <c r="P124" s="29">
        <v>0</v>
      </c>
      <c r="Q124" s="29">
        <v>0</v>
      </c>
      <c r="R124" s="29">
        <v>0</v>
      </c>
      <c r="S124" s="29">
        <v>0</v>
      </c>
      <c r="T124" s="29">
        <v>0</v>
      </c>
      <c r="U124" s="29">
        <v>0</v>
      </c>
      <c r="V124" s="29" t="s">
        <v>345</v>
      </c>
      <c r="W124" s="29" t="s">
        <v>345</v>
      </c>
      <c r="X124" s="29" t="s">
        <v>345</v>
      </c>
      <c r="Y124" s="29" t="s">
        <v>345</v>
      </c>
      <c r="Z124" s="29">
        <v>0</v>
      </c>
      <c r="AA124" s="29">
        <v>0</v>
      </c>
      <c r="AB124" s="29">
        <v>0</v>
      </c>
      <c r="AC124" s="29">
        <v>0</v>
      </c>
      <c r="AD124" s="29">
        <v>0</v>
      </c>
      <c r="AE124" s="29">
        <v>0</v>
      </c>
      <c r="AF124" s="29">
        <v>0</v>
      </c>
      <c r="AG124" s="29">
        <v>0</v>
      </c>
      <c r="AH124" s="29">
        <v>0</v>
      </c>
      <c r="AI124" s="29">
        <v>0</v>
      </c>
      <c r="AJ124" s="29">
        <v>0</v>
      </c>
      <c r="AK124" s="29">
        <v>0</v>
      </c>
      <c r="AL124" s="29">
        <v>0</v>
      </c>
      <c r="AM124" s="29">
        <v>-171.88647153815131</v>
      </c>
      <c r="AN124" s="29">
        <v>-43.4368517917977</v>
      </c>
      <c r="AO124" s="29">
        <v>0</v>
      </c>
      <c r="AP124" s="29">
        <v>0</v>
      </c>
      <c r="AQ124" s="29">
        <v>-215.32332332994901</v>
      </c>
      <c r="AR124" s="29">
        <v>0</v>
      </c>
      <c r="AS124" s="107">
        <v>0</v>
      </c>
      <c r="AT124" s="29">
        <v>-171.88647153815131</v>
      </c>
      <c r="AU124" s="29">
        <v>-51.416294858107491</v>
      </c>
      <c r="AV124" s="29">
        <v>0</v>
      </c>
      <c r="AW124" s="29">
        <v>0</v>
      </c>
      <c r="AX124" s="29">
        <v>-223.30276639625879</v>
      </c>
      <c r="AY124" s="29">
        <v>0</v>
      </c>
      <c r="AZ124" s="107">
        <v>0</v>
      </c>
      <c r="BA124" s="29">
        <v>-171.88647153815131</v>
      </c>
      <c r="BB124" s="29">
        <v>-94.853146649905199</v>
      </c>
      <c r="BC124" s="29">
        <v>0</v>
      </c>
      <c r="BD124" s="29">
        <v>0</v>
      </c>
      <c r="BE124" s="29">
        <v>-266.73961818805651</v>
      </c>
      <c r="BF124" s="29">
        <v>0</v>
      </c>
      <c r="BG124" s="29">
        <v>9999</v>
      </c>
      <c r="BH124" s="107">
        <v>0</v>
      </c>
      <c r="BI124" s="29">
        <v>9999</v>
      </c>
      <c r="BJ124" s="29">
        <v>9999</v>
      </c>
      <c r="BK124" s="29">
        <v>9999</v>
      </c>
      <c r="BL124" s="29">
        <v>9999</v>
      </c>
      <c r="BM124" s="29">
        <v>9999</v>
      </c>
      <c r="BN124" s="29">
        <v>-171.88647153815131</v>
      </c>
      <c r="BO124" s="29">
        <v>-4.809742461411104</v>
      </c>
      <c r="BP124" s="29">
        <v>-94.853146649905199</v>
      </c>
      <c r="BQ124" s="29">
        <v>0</v>
      </c>
      <c r="BR124" s="29">
        <v>0</v>
      </c>
      <c r="BS124" s="29">
        <v>0</v>
      </c>
      <c r="BT124" s="29">
        <v>0</v>
      </c>
      <c r="BU124" s="29">
        <v>0</v>
      </c>
      <c r="BV124" s="29">
        <v>-42.073997181816281</v>
      </c>
      <c r="BW124" s="29">
        <v>0</v>
      </c>
      <c r="BX124" s="29">
        <v>0</v>
      </c>
      <c r="BY124" s="29"/>
      <c r="BZ124" s="29">
        <v>0</v>
      </c>
      <c r="CA124" s="29">
        <v>0</v>
      </c>
      <c r="CB124" s="29">
        <v>-313.62335783128384</v>
      </c>
      <c r="CC124" s="29">
        <v>0</v>
      </c>
      <c r="CD124" s="107">
        <v>0</v>
      </c>
      <c r="CE124" s="29">
        <v>9999</v>
      </c>
      <c r="CF124" s="29">
        <v>-3.1351891851177638</v>
      </c>
      <c r="CG124" s="29">
        <v>-7.2550735999165242E-2</v>
      </c>
      <c r="CH124" s="29">
        <v>-3.2077399211169291</v>
      </c>
      <c r="CI124" s="29">
        <v>-0.15675843736803646</v>
      </c>
      <c r="CJ124" s="29">
        <v>-3.6275367999582652E-3</v>
      </c>
      <c r="CK124" s="29">
        <v>-0.16038597416799472</v>
      </c>
      <c r="CL124" s="29"/>
      <c r="CM124" s="29">
        <v>-0.61395224043789309</v>
      </c>
      <c r="CN124" s="29" t="s">
        <v>554</v>
      </c>
      <c r="CO124" s="29">
        <v>0</v>
      </c>
      <c r="CP124" s="29">
        <v>0</v>
      </c>
      <c r="CQ124" s="29">
        <v>-4.809742461411104</v>
      </c>
      <c r="CR124" s="29">
        <v>0</v>
      </c>
      <c r="CS124" s="29">
        <v>0</v>
      </c>
      <c r="CT124" s="29">
        <v>-4.809742461411104</v>
      </c>
      <c r="CU124" s="29">
        <v>0</v>
      </c>
      <c r="CV124" s="29">
        <v>9999</v>
      </c>
      <c r="CW124" s="107">
        <v>0</v>
      </c>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row>
    <row r="125" spans="1:131">
      <c r="A125" s="7" t="s">
        <v>476</v>
      </c>
      <c r="B125" s="7" t="s">
        <v>359</v>
      </c>
      <c r="C125" s="29">
        <v>13</v>
      </c>
      <c r="D125" s="29">
        <v>1.0000000000000001E-5</v>
      </c>
      <c r="E125" s="29">
        <v>0</v>
      </c>
      <c r="F125" s="29">
        <v>0</v>
      </c>
      <c r="G125" s="29">
        <v>0</v>
      </c>
      <c r="H125" s="29">
        <v>0</v>
      </c>
      <c r="I125" s="29" t="s">
        <v>552</v>
      </c>
      <c r="J125" s="29"/>
      <c r="K125" s="29"/>
      <c r="L125" s="29">
        <v>1.0717520953171996E-5</v>
      </c>
      <c r="M125" s="29">
        <v>0</v>
      </c>
      <c r="N125" s="29">
        <v>0</v>
      </c>
      <c r="O125" s="29">
        <v>0</v>
      </c>
      <c r="P125" s="29">
        <v>0</v>
      </c>
      <c r="Q125" s="29">
        <v>0</v>
      </c>
      <c r="R125" s="29">
        <v>0</v>
      </c>
      <c r="S125" s="29">
        <v>0</v>
      </c>
      <c r="T125" s="29">
        <v>0</v>
      </c>
      <c r="U125" s="29">
        <v>0</v>
      </c>
      <c r="V125" s="29" t="s">
        <v>345</v>
      </c>
      <c r="W125" s="29" t="s">
        <v>345</v>
      </c>
      <c r="X125" s="29" t="s">
        <v>345</v>
      </c>
      <c r="Y125" s="29" t="s">
        <v>345</v>
      </c>
      <c r="Z125" s="29">
        <v>0</v>
      </c>
      <c r="AA125" s="29">
        <v>0</v>
      </c>
      <c r="AB125" s="29">
        <v>0</v>
      </c>
      <c r="AC125" s="29">
        <v>0</v>
      </c>
      <c r="AD125" s="29">
        <v>0</v>
      </c>
      <c r="AE125" s="29">
        <v>0</v>
      </c>
      <c r="AF125" s="29">
        <v>0</v>
      </c>
      <c r="AG125" s="29">
        <v>0</v>
      </c>
      <c r="AH125" s="29">
        <v>0</v>
      </c>
      <c r="AI125" s="29">
        <v>0</v>
      </c>
      <c r="AJ125" s="29">
        <v>0</v>
      </c>
      <c r="AK125" s="29">
        <v>0</v>
      </c>
      <c r="AL125" s="29">
        <v>0</v>
      </c>
      <c r="AM125" s="29">
        <v>5.5800831647479789E-6</v>
      </c>
      <c r="AN125" s="29">
        <v>0</v>
      </c>
      <c r="AO125" s="29">
        <v>0</v>
      </c>
      <c r="AP125" s="29">
        <v>0</v>
      </c>
      <c r="AQ125" s="29">
        <v>5.5800831647479789E-6</v>
      </c>
      <c r="AR125" s="29">
        <v>0</v>
      </c>
      <c r="AS125" s="33">
        <v>9999</v>
      </c>
      <c r="AT125" s="29">
        <v>5.5800831647479789E-6</v>
      </c>
      <c r="AU125" s="29">
        <v>0</v>
      </c>
      <c r="AV125" s="29">
        <v>0</v>
      </c>
      <c r="AW125" s="29">
        <v>0</v>
      </c>
      <c r="AX125" s="29">
        <v>5.5800831647479789E-6</v>
      </c>
      <c r="AY125" s="29">
        <v>0</v>
      </c>
      <c r="AZ125" s="33">
        <v>9999</v>
      </c>
      <c r="BA125" s="29">
        <v>5.5800831647479789E-6</v>
      </c>
      <c r="BB125" s="29">
        <v>0</v>
      </c>
      <c r="BC125" s="29">
        <v>0</v>
      </c>
      <c r="BD125" s="29">
        <v>0</v>
      </c>
      <c r="BE125" s="29">
        <v>5.5800831647479789E-6</v>
      </c>
      <c r="BF125" s="29">
        <v>0</v>
      </c>
      <c r="BG125" s="29">
        <v>0</v>
      </c>
      <c r="BH125" s="33">
        <v>9999</v>
      </c>
      <c r="BI125" s="29">
        <v>0</v>
      </c>
      <c r="BJ125" s="29">
        <v>0</v>
      </c>
      <c r="BK125" s="29">
        <v>0</v>
      </c>
      <c r="BL125" s="29">
        <v>0</v>
      </c>
      <c r="BM125" s="29">
        <v>0</v>
      </c>
      <c r="BN125" s="29">
        <v>5.5800831647479789E-6</v>
      </c>
      <c r="BO125" s="29">
        <v>0</v>
      </c>
      <c r="BP125" s="29">
        <v>0</v>
      </c>
      <c r="BQ125" s="29">
        <v>0</v>
      </c>
      <c r="BR125" s="29">
        <v>0</v>
      </c>
      <c r="BS125" s="29">
        <v>0</v>
      </c>
      <c r="BT125" s="29">
        <v>0</v>
      </c>
      <c r="BU125" s="29">
        <v>0</v>
      </c>
      <c r="BV125" s="29">
        <v>-42.073997181816281</v>
      </c>
      <c r="BW125" s="29">
        <v>0</v>
      </c>
      <c r="BX125" s="29">
        <v>0</v>
      </c>
      <c r="BY125" s="29"/>
      <c r="BZ125" s="29">
        <v>0</v>
      </c>
      <c r="CA125" s="29">
        <v>0</v>
      </c>
      <c r="CB125" s="29">
        <v>-42.07399160173312</v>
      </c>
      <c r="CC125" s="29">
        <v>0</v>
      </c>
      <c r="CD125" s="107">
        <v>1.3262545844252713E-7</v>
      </c>
      <c r="CE125" s="29">
        <v>288861423.22339678</v>
      </c>
      <c r="CF125" s="29">
        <v>1.018228403603893E-7</v>
      </c>
      <c r="CG125" s="29">
        <v>0</v>
      </c>
      <c r="CH125" s="29">
        <v>1.018228403603893E-7</v>
      </c>
      <c r="CI125" s="29">
        <v>5.090822452756698E-9</v>
      </c>
      <c r="CJ125" s="29">
        <v>0</v>
      </c>
      <c r="CK125" s="29">
        <v>5.090822452756698E-9</v>
      </c>
      <c r="CL125" s="29"/>
      <c r="CM125" s="29">
        <v>0</v>
      </c>
      <c r="CN125" s="29"/>
      <c r="CO125" s="29">
        <v>0</v>
      </c>
      <c r="CP125" s="29">
        <v>0</v>
      </c>
      <c r="CQ125" s="29">
        <v>0</v>
      </c>
      <c r="CR125" s="29">
        <v>0</v>
      </c>
      <c r="CS125" s="29">
        <v>0</v>
      </c>
      <c r="CT125" s="29">
        <v>0</v>
      </c>
      <c r="CU125" s="29">
        <v>0</v>
      </c>
      <c r="CV125" s="29">
        <v>9999</v>
      </c>
      <c r="CW125" s="33">
        <v>9999</v>
      </c>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row>
    <row r="126" spans="1:131">
      <c r="A126" s="7" t="s">
        <v>477</v>
      </c>
      <c r="B126" s="7" t="s">
        <v>356</v>
      </c>
      <c r="C126" s="29">
        <v>13</v>
      </c>
      <c r="D126" s="29">
        <v>189.91094169277483</v>
      </c>
      <c r="E126" s="29">
        <v>0</v>
      </c>
      <c r="F126" s="29">
        <v>1183.5005381933324</v>
      </c>
      <c r="G126" s="29">
        <v>0</v>
      </c>
      <c r="H126" s="29">
        <v>0</v>
      </c>
      <c r="I126" s="29" t="s">
        <v>569</v>
      </c>
      <c r="J126" s="29"/>
      <c r="K126" s="29"/>
      <c r="L126" s="29">
        <v>203.91803107166533</v>
      </c>
      <c r="M126" s="29">
        <v>4.537877696792629E-2</v>
      </c>
      <c r="N126" s="29">
        <v>4.5051253305592912E-2</v>
      </c>
      <c r="O126" s="29">
        <v>0</v>
      </c>
      <c r="P126" s="29">
        <v>0</v>
      </c>
      <c r="Q126" s="29">
        <v>0</v>
      </c>
      <c r="R126" s="29">
        <v>236.00581711026078</v>
      </c>
      <c r="S126" s="29">
        <v>545.37354705966402</v>
      </c>
      <c r="T126" s="29">
        <v>0</v>
      </c>
      <c r="U126" s="29">
        <v>856.63728665415113</v>
      </c>
      <c r="V126" s="29" t="s">
        <v>345</v>
      </c>
      <c r="W126" s="29" t="s">
        <v>345</v>
      </c>
      <c r="X126" s="29" t="s">
        <v>345</v>
      </c>
      <c r="Y126" s="29" t="s">
        <v>345</v>
      </c>
      <c r="Z126" s="29">
        <v>0</v>
      </c>
      <c r="AA126" s="29">
        <v>0</v>
      </c>
      <c r="AB126" s="29">
        <v>0</v>
      </c>
      <c r="AC126" s="29">
        <v>0</v>
      </c>
      <c r="AD126" s="29">
        <v>0</v>
      </c>
      <c r="AE126" s="29">
        <v>0</v>
      </c>
      <c r="AF126" s="29">
        <v>0</v>
      </c>
      <c r="AG126" s="29">
        <v>0</v>
      </c>
      <c r="AH126" s="29">
        <v>236.00581711026078</v>
      </c>
      <c r="AI126" s="29">
        <v>545.37354705966402</v>
      </c>
      <c r="AJ126" s="29">
        <v>0</v>
      </c>
      <c r="AK126" s="29">
        <v>856.63728665415113</v>
      </c>
      <c r="AL126" s="29">
        <v>1638.0166508240759</v>
      </c>
      <c r="AM126" s="29">
        <v>104.73903717830086</v>
      </c>
      <c r="AN126" s="29">
        <v>16.03452209137016</v>
      </c>
      <c r="AO126" s="29">
        <v>0</v>
      </c>
      <c r="AP126" s="29">
        <v>0</v>
      </c>
      <c r="AQ126" s="29">
        <v>120.77355926967103</v>
      </c>
      <c r="AR126" s="29">
        <v>236.00581711026078</v>
      </c>
      <c r="AS126" s="107">
        <v>0.51173975603002275</v>
      </c>
      <c r="AT126" s="29">
        <v>104.73903717830086</v>
      </c>
      <c r="AU126" s="29">
        <v>18.98009827485717</v>
      </c>
      <c r="AV126" s="29">
        <v>0</v>
      </c>
      <c r="AW126" s="29">
        <v>0</v>
      </c>
      <c r="AX126" s="29">
        <v>123.71913545315803</v>
      </c>
      <c r="AY126" s="29">
        <v>545.37354705966402</v>
      </c>
      <c r="AZ126" s="107">
        <v>0.22685210186702201</v>
      </c>
      <c r="BA126" s="29">
        <v>104.73903717830086</v>
      </c>
      <c r="BB126" s="29">
        <v>35.014620366227334</v>
      </c>
      <c r="BC126" s="29">
        <v>0</v>
      </c>
      <c r="BD126" s="29">
        <v>0</v>
      </c>
      <c r="BE126" s="29">
        <v>139.75365754452818</v>
      </c>
      <c r="BF126" s="29">
        <v>781.37936416992477</v>
      </c>
      <c r="BG126" s="29">
        <v>269.31813701827048</v>
      </c>
      <c r="BH126" s="107">
        <v>0.17885506573748763</v>
      </c>
      <c r="BI126" s="29">
        <v>85.160302006879462</v>
      </c>
      <c r="BJ126" s="29">
        <v>196.79250512908158</v>
      </c>
      <c r="BK126" s="29">
        <v>0</v>
      </c>
      <c r="BL126" s="29">
        <v>309.10886407405246</v>
      </c>
      <c r="BM126" s="29">
        <v>591.0616712100134</v>
      </c>
      <c r="BN126" s="29">
        <v>104.73903717830086</v>
      </c>
      <c r="BO126" s="29">
        <v>0</v>
      </c>
      <c r="BP126" s="29">
        <v>35.014620366227334</v>
      </c>
      <c r="BQ126" s="29">
        <v>0</v>
      </c>
      <c r="BR126" s="29">
        <v>0</v>
      </c>
      <c r="BS126" s="29">
        <v>0</v>
      </c>
      <c r="BT126" s="29">
        <v>0</v>
      </c>
      <c r="BU126" s="29">
        <v>0</v>
      </c>
      <c r="BV126" s="29">
        <v>0</v>
      </c>
      <c r="BW126" s="29">
        <v>0</v>
      </c>
      <c r="BX126" s="29">
        <v>1638.0166508240759</v>
      </c>
      <c r="BY126" s="29"/>
      <c r="BZ126" s="29">
        <v>0</v>
      </c>
      <c r="CA126" s="29">
        <v>0</v>
      </c>
      <c r="CB126" s="29">
        <v>139.75365754452821</v>
      </c>
      <c r="CC126" s="29">
        <v>1638.0166508240759</v>
      </c>
      <c r="CD126" s="107">
        <v>8.5318825955901623E-2</v>
      </c>
      <c r="CE126" s="29">
        <v>578.42700109232294</v>
      </c>
      <c r="CF126" s="29">
        <v>1.9372444970380942</v>
      </c>
      <c r="CG126" s="29">
        <v>0</v>
      </c>
      <c r="CH126" s="29">
        <v>1.9372444970380942</v>
      </c>
      <c r="CI126" s="29">
        <v>9.6861064759040993E-2</v>
      </c>
      <c r="CJ126" s="29">
        <v>0</v>
      </c>
      <c r="CK126" s="29">
        <v>9.6861064759040993E-2</v>
      </c>
      <c r="CL126" s="29"/>
      <c r="CM126" s="29">
        <v>0</v>
      </c>
      <c r="CN126" s="29"/>
      <c r="CO126" s="29">
        <v>0</v>
      </c>
      <c r="CP126" s="29">
        <v>0</v>
      </c>
      <c r="CQ126" s="29">
        <v>0</v>
      </c>
      <c r="CR126" s="29">
        <v>0</v>
      </c>
      <c r="CS126" s="29">
        <v>0</v>
      </c>
      <c r="CT126" s="29">
        <v>0</v>
      </c>
      <c r="CU126" s="29">
        <v>0</v>
      </c>
      <c r="CV126" s="29">
        <v>9999</v>
      </c>
      <c r="CW126" s="33">
        <v>9999</v>
      </c>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row>
    <row r="127" spans="1:131">
      <c r="A127" s="7" t="s">
        <v>477</v>
      </c>
      <c r="B127" s="7" t="s">
        <v>357</v>
      </c>
      <c r="C127" s="29">
        <v>13</v>
      </c>
      <c r="D127" s="29">
        <v>1.0000000000000001E-5</v>
      </c>
      <c r="E127" s="29">
        <v>0</v>
      </c>
      <c r="F127" s="29">
        <v>0</v>
      </c>
      <c r="G127" s="29">
        <v>0</v>
      </c>
      <c r="H127" s="29">
        <v>0</v>
      </c>
      <c r="I127" s="29" t="s">
        <v>554</v>
      </c>
      <c r="J127" s="29"/>
      <c r="K127" s="29"/>
      <c r="L127" s="29">
        <v>1.0778880304980247E-5</v>
      </c>
      <c r="M127" s="29">
        <v>4.0150544632980457E-9</v>
      </c>
      <c r="N127" s="29">
        <v>3.9860756007073505E-9</v>
      </c>
      <c r="O127" s="29">
        <v>0</v>
      </c>
      <c r="P127" s="29">
        <v>0</v>
      </c>
      <c r="Q127" s="29">
        <v>0</v>
      </c>
      <c r="R127" s="29">
        <v>0</v>
      </c>
      <c r="S127" s="29">
        <v>0</v>
      </c>
      <c r="T127" s="29">
        <v>0</v>
      </c>
      <c r="U127" s="29">
        <v>0</v>
      </c>
      <c r="V127" s="29" t="s">
        <v>345</v>
      </c>
      <c r="W127" s="29" t="s">
        <v>345</v>
      </c>
      <c r="X127" s="29" t="s">
        <v>345</v>
      </c>
      <c r="Y127" s="29" t="s">
        <v>345</v>
      </c>
      <c r="Z127" s="29">
        <v>0</v>
      </c>
      <c r="AA127" s="29">
        <v>0</v>
      </c>
      <c r="AB127" s="29">
        <v>0</v>
      </c>
      <c r="AC127" s="29">
        <v>0</v>
      </c>
      <c r="AD127" s="29">
        <v>0</v>
      </c>
      <c r="AE127" s="29">
        <v>0</v>
      </c>
      <c r="AF127" s="29">
        <v>0</v>
      </c>
      <c r="AG127" s="29">
        <v>0</v>
      </c>
      <c r="AH127" s="29">
        <v>0</v>
      </c>
      <c r="AI127" s="29">
        <v>0</v>
      </c>
      <c r="AJ127" s="29">
        <v>0</v>
      </c>
      <c r="AK127" s="29">
        <v>0</v>
      </c>
      <c r="AL127" s="29">
        <v>0</v>
      </c>
      <c r="AM127" s="29">
        <v>5.6140726686532485E-6</v>
      </c>
      <c r="AN127" s="29">
        <v>1.4187134116750271E-6</v>
      </c>
      <c r="AO127" s="29">
        <v>0</v>
      </c>
      <c r="AP127" s="29">
        <v>0</v>
      </c>
      <c r="AQ127" s="29">
        <v>7.0327860803282754E-6</v>
      </c>
      <c r="AR127" s="29">
        <v>0</v>
      </c>
      <c r="AS127" s="33">
        <v>9999</v>
      </c>
      <c r="AT127" s="29">
        <v>5.6140726686532485E-6</v>
      </c>
      <c r="AU127" s="29">
        <v>1.6793341157291058E-6</v>
      </c>
      <c r="AV127" s="29">
        <v>0</v>
      </c>
      <c r="AW127" s="29">
        <v>0</v>
      </c>
      <c r="AX127" s="29">
        <v>7.2934067843823544E-6</v>
      </c>
      <c r="AY127" s="29">
        <v>0</v>
      </c>
      <c r="AZ127" s="33">
        <v>9999</v>
      </c>
      <c r="BA127" s="29">
        <v>5.6140726686532485E-6</v>
      </c>
      <c r="BB127" s="29">
        <v>3.0980475274041329E-6</v>
      </c>
      <c r="BC127" s="29">
        <v>0</v>
      </c>
      <c r="BD127" s="29">
        <v>0</v>
      </c>
      <c r="BE127" s="29">
        <v>8.7121201960573822E-6</v>
      </c>
      <c r="BF127" s="29">
        <v>0</v>
      </c>
      <c r="BG127" s="29">
        <v>-21.148742097298449</v>
      </c>
      <c r="BH127" s="33">
        <v>9999</v>
      </c>
      <c r="BI127" s="29">
        <v>0</v>
      </c>
      <c r="BJ127" s="29">
        <v>0</v>
      </c>
      <c r="BK127" s="29">
        <v>0</v>
      </c>
      <c r="BL127" s="29">
        <v>0</v>
      </c>
      <c r="BM127" s="29">
        <v>0</v>
      </c>
      <c r="BN127" s="29">
        <v>5.6140726686532485E-6</v>
      </c>
      <c r="BO127" s="29">
        <v>0</v>
      </c>
      <c r="BP127" s="29">
        <v>3.0980475274041329E-6</v>
      </c>
      <c r="BQ127" s="29">
        <v>0</v>
      </c>
      <c r="BR127" s="29">
        <v>0</v>
      </c>
      <c r="BS127" s="29">
        <v>0</v>
      </c>
      <c r="BT127" s="29">
        <v>0</v>
      </c>
      <c r="BU127" s="29">
        <v>0</v>
      </c>
      <c r="BV127" s="29">
        <v>0</v>
      </c>
      <c r="BW127" s="29">
        <v>0</v>
      </c>
      <c r="BX127" s="29">
        <v>0</v>
      </c>
      <c r="BY127" s="29"/>
      <c r="BZ127" s="29">
        <v>0</v>
      </c>
      <c r="CA127" s="29">
        <v>0</v>
      </c>
      <c r="CB127" s="29">
        <v>8.7121201960573805E-6</v>
      </c>
      <c r="CC127" s="29">
        <v>0</v>
      </c>
      <c r="CD127" s="33">
        <v>9999</v>
      </c>
      <c r="CE127" s="29">
        <v>-21.148742097298438</v>
      </c>
      <c r="CF127" s="29">
        <v>1.0240003042543206E-7</v>
      </c>
      <c r="CG127" s="29">
        <v>0</v>
      </c>
      <c r="CH127" s="29">
        <v>1.0240003042543206E-7</v>
      </c>
      <c r="CI127" s="29">
        <v>5.119968144865615E-9</v>
      </c>
      <c r="CJ127" s="29">
        <v>0</v>
      </c>
      <c r="CK127" s="29">
        <v>5.119968144865615E-9</v>
      </c>
      <c r="CL127" s="29"/>
      <c r="CM127" s="29">
        <v>0</v>
      </c>
      <c r="CN127" s="29"/>
      <c r="CO127" s="29">
        <v>0</v>
      </c>
      <c r="CP127" s="29">
        <v>0</v>
      </c>
      <c r="CQ127" s="29">
        <v>0</v>
      </c>
      <c r="CR127" s="29">
        <v>0</v>
      </c>
      <c r="CS127" s="29">
        <v>0</v>
      </c>
      <c r="CT127" s="29">
        <v>0</v>
      </c>
      <c r="CU127" s="29">
        <v>0</v>
      </c>
      <c r="CV127" s="29">
        <v>9999</v>
      </c>
      <c r="CW127" s="33">
        <v>9999</v>
      </c>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row>
    <row r="128" spans="1:131">
      <c r="A128" s="7" t="s">
        <v>477</v>
      </c>
      <c r="B128" s="7" t="s">
        <v>359</v>
      </c>
      <c r="C128" s="29">
        <v>13</v>
      </c>
      <c r="D128" s="29">
        <v>1.0000000000000001E-5</v>
      </c>
      <c r="E128" s="29">
        <v>0</v>
      </c>
      <c r="F128" s="29">
        <v>0</v>
      </c>
      <c r="G128" s="29">
        <v>0</v>
      </c>
      <c r="H128" s="29">
        <v>0</v>
      </c>
      <c r="I128" s="29" t="s">
        <v>552</v>
      </c>
      <c r="J128" s="29"/>
      <c r="K128" s="29"/>
      <c r="L128" s="29">
        <v>1.0717520953171996E-5</v>
      </c>
      <c r="M128" s="29">
        <v>0</v>
      </c>
      <c r="N128" s="29">
        <v>0</v>
      </c>
      <c r="O128" s="29">
        <v>0</v>
      </c>
      <c r="P128" s="29">
        <v>0</v>
      </c>
      <c r="Q128" s="29">
        <v>0</v>
      </c>
      <c r="R128" s="29">
        <v>0</v>
      </c>
      <c r="S128" s="29">
        <v>0</v>
      </c>
      <c r="T128" s="29">
        <v>0</v>
      </c>
      <c r="U128" s="29">
        <v>0</v>
      </c>
      <c r="V128" s="29" t="s">
        <v>345</v>
      </c>
      <c r="W128" s="29" t="s">
        <v>345</v>
      </c>
      <c r="X128" s="29" t="s">
        <v>345</v>
      </c>
      <c r="Y128" s="29" t="s">
        <v>345</v>
      </c>
      <c r="Z128" s="29">
        <v>0</v>
      </c>
      <c r="AA128" s="29">
        <v>0</v>
      </c>
      <c r="AB128" s="29">
        <v>0</v>
      </c>
      <c r="AC128" s="29">
        <v>0</v>
      </c>
      <c r="AD128" s="29">
        <v>0</v>
      </c>
      <c r="AE128" s="29">
        <v>0</v>
      </c>
      <c r="AF128" s="29">
        <v>0</v>
      </c>
      <c r="AG128" s="29">
        <v>0</v>
      </c>
      <c r="AH128" s="29">
        <v>0</v>
      </c>
      <c r="AI128" s="29">
        <v>0</v>
      </c>
      <c r="AJ128" s="29">
        <v>0</v>
      </c>
      <c r="AK128" s="29">
        <v>0</v>
      </c>
      <c r="AL128" s="29">
        <v>0</v>
      </c>
      <c r="AM128" s="29">
        <v>5.5800831647479789E-6</v>
      </c>
      <c r="AN128" s="29">
        <v>0</v>
      </c>
      <c r="AO128" s="29">
        <v>0</v>
      </c>
      <c r="AP128" s="29">
        <v>0</v>
      </c>
      <c r="AQ128" s="29">
        <v>5.5800831647479789E-6</v>
      </c>
      <c r="AR128" s="29">
        <v>0</v>
      </c>
      <c r="AS128" s="33">
        <v>9999</v>
      </c>
      <c r="AT128" s="29">
        <v>5.5800831647479789E-6</v>
      </c>
      <c r="AU128" s="29">
        <v>0</v>
      </c>
      <c r="AV128" s="29">
        <v>0</v>
      </c>
      <c r="AW128" s="29">
        <v>0</v>
      </c>
      <c r="AX128" s="29">
        <v>5.5800831647479789E-6</v>
      </c>
      <c r="AY128" s="29">
        <v>0</v>
      </c>
      <c r="AZ128" s="33">
        <v>9999</v>
      </c>
      <c r="BA128" s="29">
        <v>5.5800831647479789E-6</v>
      </c>
      <c r="BB128" s="29">
        <v>0</v>
      </c>
      <c r="BC128" s="29">
        <v>0</v>
      </c>
      <c r="BD128" s="29">
        <v>0</v>
      </c>
      <c r="BE128" s="29">
        <v>5.5800831647479789E-6</v>
      </c>
      <c r="BF128" s="29">
        <v>0</v>
      </c>
      <c r="BG128" s="29">
        <v>0</v>
      </c>
      <c r="BH128" s="33">
        <v>9999</v>
      </c>
      <c r="BI128" s="29">
        <v>0</v>
      </c>
      <c r="BJ128" s="29">
        <v>0</v>
      </c>
      <c r="BK128" s="29">
        <v>0</v>
      </c>
      <c r="BL128" s="29">
        <v>0</v>
      </c>
      <c r="BM128" s="29">
        <v>0</v>
      </c>
      <c r="BN128" s="29">
        <v>5.5800831647479789E-6</v>
      </c>
      <c r="BO128" s="29">
        <v>0</v>
      </c>
      <c r="BP128" s="29">
        <v>0</v>
      </c>
      <c r="BQ128" s="29">
        <v>0</v>
      </c>
      <c r="BR128" s="29">
        <v>0</v>
      </c>
      <c r="BS128" s="29">
        <v>0</v>
      </c>
      <c r="BT128" s="29">
        <v>0</v>
      </c>
      <c r="BU128" s="29">
        <v>0</v>
      </c>
      <c r="BV128" s="29">
        <v>0</v>
      </c>
      <c r="BW128" s="29">
        <v>0</v>
      </c>
      <c r="BX128" s="29">
        <v>0</v>
      </c>
      <c r="BY128" s="29"/>
      <c r="BZ128" s="29">
        <v>0</v>
      </c>
      <c r="CA128" s="29">
        <v>0</v>
      </c>
      <c r="CB128" s="29">
        <v>5.5800831647479789E-6</v>
      </c>
      <c r="CC128" s="29">
        <v>0</v>
      </c>
      <c r="CD128" s="33">
        <v>9999</v>
      </c>
      <c r="CE128" s="29">
        <v>0</v>
      </c>
      <c r="CF128" s="29">
        <v>1.018228403603893E-7</v>
      </c>
      <c r="CG128" s="29">
        <v>0</v>
      </c>
      <c r="CH128" s="29">
        <v>1.018228403603893E-7</v>
      </c>
      <c r="CI128" s="29">
        <v>5.090822452756698E-9</v>
      </c>
      <c r="CJ128" s="29">
        <v>0</v>
      </c>
      <c r="CK128" s="29">
        <v>5.090822452756698E-9</v>
      </c>
      <c r="CL128" s="29"/>
      <c r="CM128" s="29">
        <v>0</v>
      </c>
      <c r="CN128" s="29"/>
      <c r="CO128" s="29">
        <v>0</v>
      </c>
      <c r="CP128" s="29">
        <v>0</v>
      </c>
      <c r="CQ128" s="29">
        <v>0</v>
      </c>
      <c r="CR128" s="29">
        <v>0</v>
      </c>
      <c r="CS128" s="29">
        <v>0</v>
      </c>
      <c r="CT128" s="29">
        <v>0</v>
      </c>
      <c r="CU128" s="29">
        <v>0</v>
      </c>
      <c r="CV128" s="29">
        <v>9999</v>
      </c>
      <c r="CW128" s="33">
        <v>9999</v>
      </c>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row>
    <row r="129" spans="1:131">
      <c r="A129" s="7" t="s">
        <v>478</v>
      </c>
      <c r="B129" s="7" t="s">
        <v>356</v>
      </c>
      <c r="C129" s="29">
        <v>13</v>
      </c>
      <c r="D129" s="29">
        <v>82.787030726763376</v>
      </c>
      <c r="E129" s="29">
        <v>0</v>
      </c>
      <c r="F129" s="29">
        <v>1183.5005381933324</v>
      </c>
      <c r="G129" s="29">
        <v>0</v>
      </c>
      <c r="H129" s="29">
        <v>0</v>
      </c>
      <c r="I129" s="29" t="s">
        <v>569</v>
      </c>
      <c r="J129" s="29"/>
      <c r="K129" s="29"/>
      <c r="L129" s="29">
        <v>88.893078795750682</v>
      </c>
      <c r="M129" s="29">
        <v>1.9781768073501068E-2</v>
      </c>
      <c r="N129" s="29">
        <v>1.9638992142553394E-2</v>
      </c>
      <c r="O129" s="29">
        <v>0</v>
      </c>
      <c r="P129" s="29">
        <v>0</v>
      </c>
      <c r="Q129" s="29">
        <v>0</v>
      </c>
      <c r="R129" s="29">
        <v>236.00581711026078</v>
      </c>
      <c r="S129" s="29">
        <v>545.37354705966402</v>
      </c>
      <c r="T129" s="29">
        <v>0</v>
      </c>
      <c r="U129" s="29">
        <v>856.63728665415113</v>
      </c>
      <c r="V129" s="29" t="s">
        <v>345</v>
      </c>
      <c r="W129" s="29" t="s">
        <v>345</v>
      </c>
      <c r="X129" s="29" t="s">
        <v>345</v>
      </c>
      <c r="Y129" s="29" t="s">
        <v>345</v>
      </c>
      <c r="Z129" s="29">
        <v>0</v>
      </c>
      <c r="AA129" s="29">
        <v>0</v>
      </c>
      <c r="AB129" s="29">
        <v>0</v>
      </c>
      <c r="AC129" s="29">
        <v>0</v>
      </c>
      <c r="AD129" s="29">
        <v>0</v>
      </c>
      <c r="AE129" s="29">
        <v>0</v>
      </c>
      <c r="AF129" s="29">
        <v>0</v>
      </c>
      <c r="AG129" s="29">
        <v>0</v>
      </c>
      <c r="AH129" s="29">
        <v>236.00581711026078</v>
      </c>
      <c r="AI129" s="29">
        <v>545.37354705966402</v>
      </c>
      <c r="AJ129" s="29">
        <v>0</v>
      </c>
      <c r="AK129" s="29">
        <v>856.63728665415113</v>
      </c>
      <c r="AL129" s="29">
        <v>1638.0166508240759</v>
      </c>
      <c r="AM129" s="29">
        <v>45.658421847009791</v>
      </c>
      <c r="AN129" s="29">
        <v>6.9898577787828966</v>
      </c>
      <c r="AO129" s="29">
        <v>0</v>
      </c>
      <c r="AP129" s="29">
        <v>0</v>
      </c>
      <c r="AQ129" s="29">
        <v>52.648279625792689</v>
      </c>
      <c r="AR129" s="29">
        <v>236.00581711026078</v>
      </c>
      <c r="AS129" s="107">
        <v>0.2230804319589956</v>
      </c>
      <c r="AT129" s="29">
        <v>45.658421847009791</v>
      </c>
      <c r="AU129" s="29">
        <v>8.2739096814102577</v>
      </c>
      <c r="AV129" s="29">
        <v>0</v>
      </c>
      <c r="AW129" s="29">
        <v>0</v>
      </c>
      <c r="AX129" s="29">
        <v>53.93233152842005</v>
      </c>
      <c r="AY129" s="29">
        <v>545.37354705966402</v>
      </c>
      <c r="AZ129" s="107">
        <v>9.8890626102405801E-2</v>
      </c>
      <c r="BA129" s="29">
        <v>45.658421847009791</v>
      </c>
      <c r="BB129" s="29">
        <v>15.263767460193154</v>
      </c>
      <c r="BC129" s="29">
        <v>0</v>
      </c>
      <c r="BD129" s="29">
        <v>0</v>
      </c>
      <c r="BE129" s="29">
        <v>60.922189307202949</v>
      </c>
      <c r="BF129" s="29">
        <v>781.37936416992477</v>
      </c>
      <c r="BG129" s="29">
        <v>634.15653191054412</v>
      </c>
      <c r="BH129" s="107">
        <v>7.7967491977372391E-2</v>
      </c>
      <c r="BI129" s="29">
        <v>195.35515414661705</v>
      </c>
      <c r="BJ129" s="29">
        <v>451.43604788161758</v>
      </c>
      <c r="BK129" s="29">
        <v>0</v>
      </c>
      <c r="BL129" s="29">
        <v>709.08637435778564</v>
      </c>
      <c r="BM129" s="29">
        <v>1355.8775763860201</v>
      </c>
      <c r="BN129" s="29">
        <v>45.658421847009791</v>
      </c>
      <c r="BO129" s="29">
        <v>0</v>
      </c>
      <c r="BP129" s="29">
        <v>15.263767460193154</v>
      </c>
      <c r="BQ129" s="29">
        <v>0</v>
      </c>
      <c r="BR129" s="29">
        <v>0</v>
      </c>
      <c r="BS129" s="29">
        <v>0</v>
      </c>
      <c r="BT129" s="29">
        <v>0</v>
      </c>
      <c r="BU129" s="29">
        <v>0</v>
      </c>
      <c r="BV129" s="29">
        <v>-11.665239402084699</v>
      </c>
      <c r="BW129" s="29">
        <v>0</v>
      </c>
      <c r="BX129" s="29">
        <v>1638.0166508240759</v>
      </c>
      <c r="BY129" s="29"/>
      <c r="BZ129" s="29">
        <v>0</v>
      </c>
      <c r="CA129" s="29">
        <v>0</v>
      </c>
      <c r="CB129" s="29">
        <v>49.256949905118248</v>
      </c>
      <c r="CC129" s="29">
        <v>1638.0166508240759</v>
      </c>
      <c r="CD129" s="107">
        <v>3.6929658783397878E-2</v>
      </c>
      <c r="CE129" s="29">
        <v>1352.8988743688396</v>
      </c>
      <c r="CF129" s="29">
        <v>0.84449436284190604</v>
      </c>
      <c r="CG129" s="29">
        <v>0</v>
      </c>
      <c r="CH129" s="29">
        <v>0.84449436284190604</v>
      </c>
      <c r="CI129" s="29">
        <v>4.2224212427981564E-2</v>
      </c>
      <c r="CJ129" s="29">
        <v>0</v>
      </c>
      <c r="CK129" s="29">
        <v>4.2224212427981564E-2</v>
      </c>
      <c r="CL129" s="29"/>
      <c r="CM129" s="29">
        <v>0</v>
      </c>
      <c r="CN129" s="29"/>
      <c r="CO129" s="29">
        <v>0</v>
      </c>
      <c r="CP129" s="29">
        <v>0</v>
      </c>
      <c r="CQ129" s="29">
        <v>0</v>
      </c>
      <c r="CR129" s="29">
        <v>0</v>
      </c>
      <c r="CS129" s="29">
        <v>0</v>
      </c>
      <c r="CT129" s="29">
        <v>0</v>
      </c>
      <c r="CU129" s="29">
        <v>0</v>
      </c>
      <c r="CV129" s="29">
        <v>9999</v>
      </c>
      <c r="CW129" s="33">
        <v>9999</v>
      </c>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row>
    <row r="130" spans="1:131">
      <c r="A130" s="7" t="s">
        <v>478</v>
      </c>
      <c r="B130" s="7" t="s">
        <v>357</v>
      </c>
      <c r="C130" s="29">
        <v>13</v>
      </c>
      <c r="D130" s="29">
        <v>-2.2721962950514598</v>
      </c>
      <c r="E130" s="29">
        <v>-3.3258467421661342</v>
      </c>
      <c r="F130" s="29">
        <v>0</v>
      </c>
      <c r="G130" s="29">
        <v>0</v>
      </c>
      <c r="H130" s="29">
        <v>0</v>
      </c>
      <c r="I130" s="29" t="s">
        <v>551</v>
      </c>
      <c r="J130" s="29"/>
      <c r="K130" s="29"/>
      <c r="L130" s="29">
        <v>-2.4502927999599557</v>
      </c>
      <c r="M130" s="29">
        <v>-1.2813043244721426E-3</v>
      </c>
      <c r="N130" s="29">
        <v>-1.2720564444507984E-3</v>
      </c>
      <c r="O130" s="29">
        <v>-3.3591052166267192</v>
      </c>
      <c r="P130" s="29">
        <v>0</v>
      </c>
      <c r="Q130" s="29">
        <v>0</v>
      </c>
      <c r="R130" s="29">
        <v>0</v>
      </c>
      <c r="S130" s="29">
        <v>0</v>
      </c>
      <c r="T130" s="29">
        <v>0</v>
      </c>
      <c r="U130" s="29">
        <v>0</v>
      </c>
      <c r="V130" s="29" t="s">
        <v>345</v>
      </c>
      <c r="W130" s="29" t="s">
        <v>345</v>
      </c>
      <c r="X130" s="29" t="s">
        <v>345</v>
      </c>
      <c r="Y130" s="29" t="s">
        <v>345</v>
      </c>
      <c r="Z130" s="29">
        <v>0</v>
      </c>
      <c r="AA130" s="29">
        <v>0</v>
      </c>
      <c r="AB130" s="29">
        <v>0</v>
      </c>
      <c r="AC130" s="29">
        <v>0</v>
      </c>
      <c r="AD130" s="29">
        <v>0</v>
      </c>
      <c r="AE130" s="29">
        <v>0</v>
      </c>
      <c r="AF130" s="29">
        <v>0</v>
      </c>
      <c r="AG130" s="29">
        <v>0</v>
      </c>
      <c r="AH130" s="29">
        <v>0</v>
      </c>
      <c r="AI130" s="29">
        <v>0</v>
      </c>
      <c r="AJ130" s="29">
        <v>0</v>
      </c>
      <c r="AK130" s="29">
        <v>0</v>
      </c>
      <c r="AL130" s="29">
        <v>0</v>
      </c>
      <c r="AM130" s="29">
        <v>-1.2906353469937157</v>
      </c>
      <c r="AN130" s="29">
        <v>-0.45274694183666425</v>
      </c>
      <c r="AO130" s="29">
        <v>0</v>
      </c>
      <c r="AP130" s="29">
        <v>0</v>
      </c>
      <c r="AQ130" s="29">
        <v>-1.74338228883038</v>
      </c>
      <c r="AR130" s="29">
        <v>0</v>
      </c>
      <c r="AS130" s="107">
        <v>0</v>
      </c>
      <c r="AT130" s="29">
        <v>-1.2906353469937157</v>
      </c>
      <c r="AU130" s="29">
        <v>-0.53591752848847385</v>
      </c>
      <c r="AV130" s="29">
        <v>0</v>
      </c>
      <c r="AW130" s="29">
        <v>0</v>
      </c>
      <c r="AX130" s="29">
        <v>-1.8265528754821896</v>
      </c>
      <c r="AY130" s="29">
        <v>0</v>
      </c>
      <c r="AZ130" s="107">
        <v>0</v>
      </c>
      <c r="BA130" s="29">
        <v>-1.2906353469937157</v>
      </c>
      <c r="BB130" s="29">
        <v>-0.98866447032513816</v>
      </c>
      <c r="BC130" s="29">
        <v>0</v>
      </c>
      <c r="BD130" s="29">
        <v>0</v>
      </c>
      <c r="BE130" s="29">
        <v>-2.2792998173188539</v>
      </c>
      <c r="BF130" s="29">
        <v>0</v>
      </c>
      <c r="BG130" s="29">
        <v>9999</v>
      </c>
      <c r="BH130" s="107">
        <v>0</v>
      </c>
      <c r="BI130" s="29">
        <v>9999</v>
      </c>
      <c r="BJ130" s="29">
        <v>9999</v>
      </c>
      <c r="BK130" s="29">
        <v>9999</v>
      </c>
      <c r="BL130" s="29">
        <v>9999</v>
      </c>
      <c r="BM130" s="29">
        <v>9999</v>
      </c>
      <c r="BN130" s="29">
        <v>-1.2906353469937157</v>
      </c>
      <c r="BO130" s="29">
        <v>-26.065542812330282</v>
      </c>
      <c r="BP130" s="29">
        <v>-0.98866447032513816</v>
      </c>
      <c r="BQ130" s="29">
        <v>0</v>
      </c>
      <c r="BR130" s="29">
        <v>0</v>
      </c>
      <c r="BS130" s="29">
        <v>0</v>
      </c>
      <c r="BT130" s="29">
        <v>0</v>
      </c>
      <c r="BU130" s="29">
        <v>0</v>
      </c>
      <c r="BV130" s="29">
        <v>-11.665239402084699</v>
      </c>
      <c r="BW130" s="29">
        <v>0</v>
      </c>
      <c r="BX130" s="29">
        <v>0</v>
      </c>
      <c r="BY130" s="29"/>
      <c r="BZ130" s="29">
        <v>0</v>
      </c>
      <c r="CA130" s="29">
        <v>0</v>
      </c>
      <c r="CB130" s="29">
        <v>-40.010082031733837</v>
      </c>
      <c r="CC130" s="29">
        <v>0</v>
      </c>
      <c r="CD130" s="107">
        <v>0</v>
      </c>
      <c r="CE130" s="29">
        <v>9999</v>
      </c>
      <c r="CF130" s="29">
        <v>-2.327793009209863E-2</v>
      </c>
      <c r="CG130" s="29">
        <v>-0.39301531034532622</v>
      </c>
      <c r="CH130" s="29">
        <v>-0.41629324043742483</v>
      </c>
      <c r="CI130" s="29">
        <v>-1.1638890799809791E-3</v>
      </c>
      <c r="CJ130" s="29">
        <v>-1.9650765517266307E-2</v>
      </c>
      <c r="CK130" s="29">
        <v>-2.0814654597247285E-2</v>
      </c>
      <c r="CL130" s="29"/>
      <c r="CM130" s="29">
        <v>-3.3258467421661342</v>
      </c>
      <c r="CN130" s="29" t="s">
        <v>551</v>
      </c>
      <c r="CO130" s="29">
        <v>0</v>
      </c>
      <c r="CP130" s="29">
        <v>0</v>
      </c>
      <c r="CQ130" s="29">
        <v>-26.065542812330282</v>
      </c>
      <c r="CR130" s="29">
        <v>0</v>
      </c>
      <c r="CS130" s="29">
        <v>0</v>
      </c>
      <c r="CT130" s="29">
        <v>-26.065542812330282</v>
      </c>
      <c r="CU130" s="29">
        <v>0</v>
      </c>
      <c r="CV130" s="29">
        <v>9999</v>
      </c>
      <c r="CW130" s="107">
        <v>0</v>
      </c>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row>
    <row r="131" spans="1:131">
      <c r="A131" s="7" t="s">
        <v>478</v>
      </c>
      <c r="B131" s="7" t="s">
        <v>359</v>
      </c>
      <c r="C131" s="29">
        <v>13</v>
      </c>
      <c r="D131" s="29">
        <v>1.0000000000000001E-5</v>
      </c>
      <c r="E131" s="29">
        <v>0</v>
      </c>
      <c r="F131" s="29">
        <v>0</v>
      </c>
      <c r="G131" s="29">
        <v>0</v>
      </c>
      <c r="H131" s="29">
        <v>0</v>
      </c>
      <c r="I131" s="29" t="s">
        <v>552</v>
      </c>
      <c r="J131" s="29"/>
      <c r="K131" s="29"/>
      <c r="L131" s="29">
        <v>1.0717520953171996E-5</v>
      </c>
      <c r="M131" s="29">
        <v>0</v>
      </c>
      <c r="N131" s="29">
        <v>0</v>
      </c>
      <c r="O131" s="29">
        <v>0</v>
      </c>
      <c r="P131" s="29">
        <v>0</v>
      </c>
      <c r="Q131" s="29">
        <v>0</v>
      </c>
      <c r="R131" s="29">
        <v>0</v>
      </c>
      <c r="S131" s="29">
        <v>0</v>
      </c>
      <c r="T131" s="29">
        <v>0</v>
      </c>
      <c r="U131" s="29">
        <v>0</v>
      </c>
      <c r="V131" s="29" t="s">
        <v>345</v>
      </c>
      <c r="W131" s="29" t="s">
        <v>345</v>
      </c>
      <c r="X131" s="29" t="s">
        <v>345</v>
      </c>
      <c r="Y131" s="29" t="s">
        <v>345</v>
      </c>
      <c r="Z131" s="29">
        <v>0</v>
      </c>
      <c r="AA131" s="29">
        <v>0</v>
      </c>
      <c r="AB131" s="29">
        <v>0</v>
      </c>
      <c r="AC131" s="29">
        <v>0</v>
      </c>
      <c r="AD131" s="29">
        <v>0</v>
      </c>
      <c r="AE131" s="29">
        <v>0</v>
      </c>
      <c r="AF131" s="29">
        <v>0</v>
      </c>
      <c r="AG131" s="29">
        <v>0</v>
      </c>
      <c r="AH131" s="29">
        <v>0</v>
      </c>
      <c r="AI131" s="29">
        <v>0</v>
      </c>
      <c r="AJ131" s="29">
        <v>0</v>
      </c>
      <c r="AK131" s="29">
        <v>0</v>
      </c>
      <c r="AL131" s="29">
        <v>0</v>
      </c>
      <c r="AM131" s="29">
        <v>5.5800831647479789E-6</v>
      </c>
      <c r="AN131" s="29">
        <v>0</v>
      </c>
      <c r="AO131" s="29">
        <v>0</v>
      </c>
      <c r="AP131" s="29">
        <v>0</v>
      </c>
      <c r="AQ131" s="29">
        <v>5.5800831647479789E-6</v>
      </c>
      <c r="AR131" s="29">
        <v>0</v>
      </c>
      <c r="AS131" s="33">
        <v>9999</v>
      </c>
      <c r="AT131" s="29">
        <v>5.5800831647479789E-6</v>
      </c>
      <c r="AU131" s="29">
        <v>0</v>
      </c>
      <c r="AV131" s="29">
        <v>0</v>
      </c>
      <c r="AW131" s="29">
        <v>0</v>
      </c>
      <c r="AX131" s="29">
        <v>5.5800831647479789E-6</v>
      </c>
      <c r="AY131" s="29">
        <v>0</v>
      </c>
      <c r="AZ131" s="33">
        <v>9999</v>
      </c>
      <c r="BA131" s="29">
        <v>5.5800831647479789E-6</v>
      </c>
      <c r="BB131" s="29">
        <v>0</v>
      </c>
      <c r="BC131" s="29">
        <v>0</v>
      </c>
      <c r="BD131" s="29">
        <v>0</v>
      </c>
      <c r="BE131" s="29">
        <v>5.5800831647479789E-6</v>
      </c>
      <c r="BF131" s="29">
        <v>0</v>
      </c>
      <c r="BG131" s="29">
        <v>0</v>
      </c>
      <c r="BH131" s="33">
        <v>9999</v>
      </c>
      <c r="BI131" s="29">
        <v>0</v>
      </c>
      <c r="BJ131" s="29">
        <v>0</v>
      </c>
      <c r="BK131" s="29">
        <v>0</v>
      </c>
      <c r="BL131" s="29">
        <v>0</v>
      </c>
      <c r="BM131" s="29">
        <v>0</v>
      </c>
      <c r="BN131" s="29">
        <v>5.5800831647479789E-6</v>
      </c>
      <c r="BO131" s="29">
        <v>0</v>
      </c>
      <c r="BP131" s="29">
        <v>0</v>
      </c>
      <c r="BQ131" s="29">
        <v>0</v>
      </c>
      <c r="BR131" s="29">
        <v>0</v>
      </c>
      <c r="BS131" s="29">
        <v>0</v>
      </c>
      <c r="BT131" s="29">
        <v>0</v>
      </c>
      <c r="BU131" s="29">
        <v>0</v>
      </c>
      <c r="BV131" s="29">
        <v>-11.665239402084699</v>
      </c>
      <c r="BW131" s="29">
        <v>0</v>
      </c>
      <c r="BX131" s="29">
        <v>0</v>
      </c>
      <c r="BY131" s="29"/>
      <c r="BZ131" s="29">
        <v>0</v>
      </c>
      <c r="CA131" s="29">
        <v>0</v>
      </c>
      <c r="CB131" s="29">
        <v>-11.665233822001534</v>
      </c>
      <c r="CC131" s="29">
        <v>0</v>
      </c>
      <c r="CD131" s="107">
        <v>4.7835136274620819E-7</v>
      </c>
      <c r="CE131" s="29">
        <v>80088365.299984768</v>
      </c>
      <c r="CF131" s="29">
        <v>1.018228403603893E-7</v>
      </c>
      <c r="CG131" s="29">
        <v>0</v>
      </c>
      <c r="CH131" s="29">
        <v>1.018228403603893E-7</v>
      </c>
      <c r="CI131" s="29">
        <v>5.090822452756698E-9</v>
      </c>
      <c r="CJ131" s="29">
        <v>0</v>
      </c>
      <c r="CK131" s="29">
        <v>5.090822452756698E-9</v>
      </c>
      <c r="CL131" s="29"/>
      <c r="CM131" s="29">
        <v>0</v>
      </c>
      <c r="CN131" s="29"/>
      <c r="CO131" s="29">
        <v>0</v>
      </c>
      <c r="CP131" s="29">
        <v>0</v>
      </c>
      <c r="CQ131" s="29">
        <v>0</v>
      </c>
      <c r="CR131" s="29">
        <v>0</v>
      </c>
      <c r="CS131" s="29">
        <v>0</v>
      </c>
      <c r="CT131" s="29">
        <v>0</v>
      </c>
      <c r="CU131" s="29">
        <v>0</v>
      </c>
      <c r="CV131" s="29">
        <v>9999</v>
      </c>
      <c r="CW131" s="33">
        <v>9999</v>
      </c>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row>
    <row r="132" spans="1:131">
      <c r="A132" s="7" t="s">
        <v>479</v>
      </c>
      <c r="B132" s="7" t="s">
        <v>356</v>
      </c>
      <c r="C132" s="29">
        <v>13</v>
      </c>
      <c r="D132" s="29">
        <v>88.055013154781591</v>
      </c>
      <c r="E132" s="29">
        <v>0</v>
      </c>
      <c r="F132" s="29">
        <v>1183.5005381933324</v>
      </c>
      <c r="G132" s="29">
        <v>0</v>
      </c>
      <c r="H132" s="29">
        <v>0</v>
      </c>
      <c r="I132" s="29" t="s">
        <v>569</v>
      </c>
      <c r="J132" s="29"/>
      <c r="K132" s="29"/>
      <c r="L132" s="29">
        <v>94.549607034020568</v>
      </c>
      <c r="M132" s="29">
        <v>2.104054019869394E-2</v>
      </c>
      <c r="N132" s="29">
        <v>2.0888679015034897E-2</v>
      </c>
      <c r="O132" s="29">
        <v>0</v>
      </c>
      <c r="P132" s="29">
        <v>0</v>
      </c>
      <c r="Q132" s="29">
        <v>0</v>
      </c>
      <c r="R132" s="29">
        <v>236.00581711026078</v>
      </c>
      <c r="S132" s="29">
        <v>545.37354705966402</v>
      </c>
      <c r="T132" s="29">
        <v>0</v>
      </c>
      <c r="U132" s="29">
        <v>856.63728665415113</v>
      </c>
      <c r="V132" s="29" t="s">
        <v>345</v>
      </c>
      <c r="W132" s="29" t="s">
        <v>345</v>
      </c>
      <c r="X132" s="29" t="s">
        <v>345</v>
      </c>
      <c r="Y132" s="29" t="s">
        <v>345</v>
      </c>
      <c r="Z132" s="29">
        <v>0</v>
      </c>
      <c r="AA132" s="29">
        <v>0</v>
      </c>
      <c r="AB132" s="29">
        <v>0</v>
      </c>
      <c r="AC132" s="29">
        <v>0</v>
      </c>
      <c r="AD132" s="29">
        <v>0</v>
      </c>
      <c r="AE132" s="29">
        <v>0</v>
      </c>
      <c r="AF132" s="29">
        <v>0</v>
      </c>
      <c r="AG132" s="29">
        <v>0</v>
      </c>
      <c r="AH132" s="29">
        <v>236.00581711026078</v>
      </c>
      <c r="AI132" s="29">
        <v>545.37354705966402</v>
      </c>
      <c r="AJ132" s="29">
        <v>0</v>
      </c>
      <c r="AK132" s="29">
        <v>856.63728665415113</v>
      </c>
      <c r="AL132" s="29">
        <v>1638.0166508240759</v>
      </c>
      <c r="AM132" s="29">
        <v>48.563801613255393</v>
      </c>
      <c r="AN132" s="29">
        <v>7.4346430021412067</v>
      </c>
      <c r="AO132" s="29">
        <v>0</v>
      </c>
      <c r="AP132" s="29">
        <v>0</v>
      </c>
      <c r="AQ132" s="29">
        <v>55.9984446153966</v>
      </c>
      <c r="AR132" s="29">
        <v>236.00581711026078</v>
      </c>
      <c r="AS132" s="107">
        <v>0.23727569642588259</v>
      </c>
      <c r="AT132" s="29">
        <v>48.563801613255393</v>
      </c>
      <c r="AU132" s="29">
        <v>8.800402906617677</v>
      </c>
      <c r="AV132" s="29">
        <v>0</v>
      </c>
      <c r="AW132" s="29">
        <v>0</v>
      </c>
      <c r="AX132" s="29">
        <v>57.36420451987307</v>
      </c>
      <c r="AY132" s="29">
        <v>545.37354705966402</v>
      </c>
      <c r="AZ132" s="107">
        <v>0.10518332770107276</v>
      </c>
      <c r="BA132" s="29">
        <v>48.563801613255393</v>
      </c>
      <c r="BB132" s="29">
        <v>16.235045908758885</v>
      </c>
      <c r="BC132" s="29">
        <v>0</v>
      </c>
      <c r="BD132" s="29">
        <v>0</v>
      </c>
      <c r="BE132" s="29">
        <v>64.79884752201427</v>
      </c>
      <c r="BF132" s="29">
        <v>781.37936416992477</v>
      </c>
      <c r="BG132" s="29">
        <v>595.46157787206971</v>
      </c>
      <c r="BH132" s="107">
        <v>8.2928792969662574E-2</v>
      </c>
      <c r="BI132" s="29">
        <v>183.66782957080682</v>
      </c>
      <c r="BJ132" s="29">
        <v>424.42841841895347</v>
      </c>
      <c r="BK132" s="29">
        <v>0</v>
      </c>
      <c r="BL132" s="29">
        <v>666.66454706786351</v>
      </c>
      <c r="BM132" s="29">
        <v>1274.7607950576237</v>
      </c>
      <c r="BN132" s="29">
        <v>48.563801613255393</v>
      </c>
      <c r="BO132" s="29">
        <v>0</v>
      </c>
      <c r="BP132" s="29">
        <v>16.235045908758885</v>
      </c>
      <c r="BQ132" s="29">
        <v>0</v>
      </c>
      <c r="BR132" s="29">
        <v>0</v>
      </c>
      <c r="BS132" s="29">
        <v>0</v>
      </c>
      <c r="BT132" s="29">
        <v>0</v>
      </c>
      <c r="BU132" s="29">
        <v>0</v>
      </c>
      <c r="BV132" s="29">
        <v>-11.863042038879659</v>
      </c>
      <c r="BW132" s="29">
        <v>0</v>
      </c>
      <c r="BX132" s="29">
        <v>1638.0166508240759</v>
      </c>
      <c r="BY132" s="29"/>
      <c r="BZ132" s="29">
        <v>0</v>
      </c>
      <c r="CA132" s="29">
        <v>0</v>
      </c>
      <c r="CB132" s="29">
        <v>52.935805483134629</v>
      </c>
      <c r="CC132" s="29">
        <v>1638.0166508240759</v>
      </c>
      <c r="CD132" s="107">
        <v>3.9274892467808978E-2</v>
      </c>
      <c r="CE132" s="29">
        <v>1271.3583515437815</v>
      </c>
      <c r="CF132" s="29">
        <v>0.89823202470701979</v>
      </c>
      <c r="CG132" s="29">
        <v>0</v>
      </c>
      <c r="CH132" s="29">
        <v>0.89823202470701979</v>
      </c>
      <c r="CI132" s="29">
        <v>4.4911063341159754E-2</v>
      </c>
      <c r="CJ132" s="29">
        <v>0</v>
      </c>
      <c r="CK132" s="29">
        <v>4.4911063341159754E-2</v>
      </c>
      <c r="CL132" s="29"/>
      <c r="CM132" s="29">
        <v>0</v>
      </c>
      <c r="CN132" s="29"/>
      <c r="CO132" s="29">
        <v>0</v>
      </c>
      <c r="CP132" s="29">
        <v>0</v>
      </c>
      <c r="CQ132" s="29">
        <v>0</v>
      </c>
      <c r="CR132" s="29">
        <v>0</v>
      </c>
      <c r="CS132" s="29">
        <v>0</v>
      </c>
      <c r="CT132" s="29">
        <v>0</v>
      </c>
      <c r="CU132" s="29">
        <v>0</v>
      </c>
      <c r="CV132" s="29">
        <v>9999</v>
      </c>
      <c r="CW132" s="33">
        <v>9999</v>
      </c>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row>
    <row r="133" spans="1:131">
      <c r="A133" s="7" t="s">
        <v>479</v>
      </c>
      <c r="B133" s="7" t="s">
        <v>357</v>
      </c>
      <c r="C133" s="29">
        <v>13</v>
      </c>
      <c r="D133" s="29">
        <v>-2.494122084514057</v>
      </c>
      <c r="E133" s="29">
        <v>-3.3750130534524367</v>
      </c>
      <c r="F133" s="29">
        <v>0</v>
      </c>
      <c r="G133" s="29">
        <v>0</v>
      </c>
      <c r="H133" s="29">
        <v>0</v>
      </c>
      <c r="I133" s="29" t="s">
        <v>551</v>
      </c>
      <c r="J133" s="29"/>
      <c r="K133" s="29"/>
      <c r="L133" s="29">
        <v>-2.6896133046319854</v>
      </c>
      <c r="M133" s="29">
        <v>-1.406449530618991E-3</v>
      </c>
      <c r="N133" s="29">
        <v>-1.3962984086202429E-3</v>
      </c>
      <c r="O133" s="29">
        <v>-3.4087631911299421</v>
      </c>
      <c r="P133" s="29">
        <v>0</v>
      </c>
      <c r="Q133" s="29">
        <v>0</v>
      </c>
      <c r="R133" s="29">
        <v>0</v>
      </c>
      <c r="S133" s="29">
        <v>0</v>
      </c>
      <c r="T133" s="29">
        <v>0</v>
      </c>
      <c r="U133" s="29">
        <v>0</v>
      </c>
      <c r="V133" s="29" t="s">
        <v>345</v>
      </c>
      <c r="W133" s="29" t="s">
        <v>345</v>
      </c>
      <c r="X133" s="29" t="s">
        <v>345</v>
      </c>
      <c r="Y133" s="29" t="s">
        <v>345</v>
      </c>
      <c r="Z133" s="29">
        <v>0</v>
      </c>
      <c r="AA133" s="29">
        <v>0</v>
      </c>
      <c r="AB133" s="29">
        <v>0</v>
      </c>
      <c r="AC133" s="29">
        <v>0</v>
      </c>
      <c r="AD133" s="29">
        <v>0</v>
      </c>
      <c r="AE133" s="29">
        <v>0</v>
      </c>
      <c r="AF133" s="29">
        <v>0</v>
      </c>
      <c r="AG133" s="29">
        <v>0</v>
      </c>
      <c r="AH133" s="29">
        <v>0</v>
      </c>
      <c r="AI133" s="29">
        <v>0</v>
      </c>
      <c r="AJ133" s="29">
        <v>0</v>
      </c>
      <c r="AK133" s="29">
        <v>0</v>
      </c>
      <c r="AL133" s="29">
        <v>0</v>
      </c>
      <c r="AM133" s="29">
        <v>-1.4166919156597724</v>
      </c>
      <c r="AN133" s="29">
        <v>-0.49696681082980632</v>
      </c>
      <c r="AO133" s="29">
        <v>0</v>
      </c>
      <c r="AP133" s="29">
        <v>0</v>
      </c>
      <c r="AQ133" s="29">
        <v>-1.9136587264895786</v>
      </c>
      <c r="AR133" s="29">
        <v>0</v>
      </c>
      <c r="AS133" s="107">
        <v>0</v>
      </c>
      <c r="AT133" s="29">
        <v>-1.4166919156597724</v>
      </c>
      <c r="AU133" s="29">
        <v>-0.58826068249135222</v>
      </c>
      <c r="AV133" s="29">
        <v>0</v>
      </c>
      <c r="AW133" s="29">
        <v>0</v>
      </c>
      <c r="AX133" s="29">
        <v>-2.0049525981511245</v>
      </c>
      <c r="AY133" s="29">
        <v>0</v>
      </c>
      <c r="AZ133" s="107">
        <v>0</v>
      </c>
      <c r="BA133" s="29">
        <v>-1.4166919156597724</v>
      </c>
      <c r="BB133" s="29">
        <v>-1.0852274933211585</v>
      </c>
      <c r="BC133" s="29">
        <v>0</v>
      </c>
      <c r="BD133" s="29">
        <v>0</v>
      </c>
      <c r="BE133" s="29">
        <v>-2.5019194089809309</v>
      </c>
      <c r="BF133" s="29">
        <v>0</v>
      </c>
      <c r="BG133" s="29">
        <v>9999</v>
      </c>
      <c r="BH133" s="107">
        <v>0</v>
      </c>
      <c r="BI133" s="29">
        <v>9999</v>
      </c>
      <c r="BJ133" s="29">
        <v>9999</v>
      </c>
      <c r="BK133" s="29">
        <v>9999</v>
      </c>
      <c r="BL133" s="29">
        <v>9999</v>
      </c>
      <c r="BM133" s="29">
        <v>9999</v>
      </c>
      <c r="BN133" s="29">
        <v>-1.4166919156597724</v>
      </c>
      <c r="BO133" s="29">
        <v>-26.450872231004233</v>
      </c>
      <c r="BP133" s="29">
        <v>-1.0852274933211585</v>
      </c>
      <c r="BQ133" s="29">
        <v>0</v>
      </c>
      <c r="BR133" s="29">
        <v>0</v>
      </c>
      <c r="BS133" s="29">
        <v>0</v>
      </c>
      <c r="BT133" s="29">
        <v>0</v>
      </c>
      <c r="BU133" s="29">
        <v>0</v>
      </c>
      <c r="BV133" s="29">
        <v>-11.863042038879659</v>
      </c>
      <c r="BW133" s="29">
        <v>0</v>
      </c>
      <c r="BX133" s="29">
        <v>0</v>
      </c>
      <c r="BY133" s="29"/>
      <c r="BZ133" s="29">
        <v>0</v>
      </c>
      <c r="CA133" s="29">
        <v>0</v>
      </c>
      <c r="CB133" s="29">
        <v>-40.81583367886482</v>
      </c>
      <c r="CC133" s="29">
        <v>0</v>
      </c>
      <c r="CD133" s="107">
        <v>0</v>
      </c>
      <c r="CE133" s="29">
        <v>9999</v>
      </c>
      <c r="CF133" s="29">
        <v>-2.5551489389768076E-2</v>
      </c>
      <c r="CG133" s="29">
        <v>-0.39882529336220329</v>
      </c>
      <c r="CH133" s="29">
        <v>-0.42437678275197138</v>
      </c>
      <c r="CI133" s="29">
        <v>-1.2775663197001929E-3</v>
      </c>
      <c r="CJ133" s="29">
        <v>-1.9941264668110161E-2</v>
      </c>
      <c r="CK133" s="29">
        <v>-2.1218830987810355E-2</v>
      </c>
      <c r="CL133" s="29"/>
      <c r="CM133" s="29">
        <v>-3.3750130534524367</v>
      </c>
      <c r="CN133" s="29" t="s">
        <v>551</v>
      </c>
      <c r="CO133" s="29">
        <v>0</v>
      </c>
      <c r="CP133" s="29">
        <v>0</v>
      </c>
      <c r="CQ133" s="29">
        <v>-26.450872231004233</v>
      </c>
      <c r="CR133" s="29">
        <v>0</v>
      </c>
      <c r="CS133" s="29">
        <v>0</v>
      </c>
      <c r="CT133" s="29">
        <v>-26.450872231004233</v>
      </c>
      <c r="CU133" s="29">
        <v>0</v>
      </c>
      <c r="CV133" s="29">
        <v>9999</v>
      </c>
      <c r="CW133" s="107">
        <v>0</v>
      </c>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row>
    <row r="134" spans="1:131">
      <c r="A134" s="7" t="s">
        <v>479</v>
      </c>
      <c r="B134" s="7" t="s">
        <v>359</v>
      </c>
      <c r="C134" s="29">
        <v>13</v>
      </c>
      <c r="D134" s="29">
        <v>-4.7969612522366845</v>
      </c>
      <c r="E134" s="29">
        <v>0</v>
      </c>
      <c r="F134" s="29">
        <v>0</v>
      </c>
      <c r="G134" s="29">
        <v>0</v>
      </c>
      <c r="H134" s="29">
        <v>0</v>
      </c>
      <c r="I134" s="29" t="s">
        <v>552</v>
      </c>
      <c r="J134" s="29"/>
      <c r="K134" s="29"/>
      <c r="L134" s="29">
        <v>-5.141153273240084</v>
      </c>
      <c r="M134" s="29">
        <v>0</v>
      </c>
      <c r="N134" s="29">
        <v>0</v>
      </c>
      <c r="O134" s="29">
        <v>0</v>
      </c>
      <c r="P134" s="29">
        <v>0</v>
      </c>
      <c r="Q134" s="29">
        <v>0</v>
      </c>
      <c r="R134" s="29">
        <v>0</v>
      </c>
      <c r="S134" s="29">
        <v>0</v>
      </c>
      <c r="T134" s="29">
        <v>0</v>
      </c>
      <c r="U134" s="29">
        <v>0</v>
      </c>
      <c r="V134" s="29" t="s">
        <v>345</v>
      </c>
      <c r="W134" s="29" t="s">
        <v>345</v>
      </c>
      <c r="X134" s="29" t="s">
        <v>345</v>
      </c>
      <c r="Y134" s="29" t="s">
        <v>345</v>
      </c>
      <c r="Z134" s="29">
        <v>0</v>
      </c>
      <c r="AA134" s="29">
        <v>0</v>
      </c>
      <c r="AB134" s="29">
        <v>0</v>
      </c>
      <c r="AC134" s="29">
        <v>0</v>
      </c>
      <c r="AD134" s="29">
        <v>0</v>
      </c>
      <c r="AE134" s="29">
        <v>0</v>
      </c>
      <c r="AF134" s="29">
        <v>0</v>
      </c>
      <c r="AG134" s="29">
        <v>0</v>
      </c>
      <c r="AH134" s="29">
        <v>0</v>
      </c>
      <c r="AI134" s="29">
        <v>0</v>
      </c>
      <c r="AJ134" s="29">
        <v>0</v>
      </c>
      <c r="AK134" s="29">
        <v>0</v>
      </c>
      <c r="AL134" s="29">
        <v>0</v>
      </c>
      <c r="AM134" s="29">
        <v>-2.6767442725554287</v>
      </c>
      <c r="AN134" s="29">
        <v>0</v>
      </c>
      <c r="AO134" s="29">
        <v>0</v>
      </c>
      <c r="AP134" s="29">
        <v>0</v>
      </c>
      <c r="AQ134" s="29">
        <v>-2.6767442725554287</v>
      </c>
      <c r="AR134" s="29">
        <v>0</v>
      </c>
      <c r="AS134" s="107">
        <v>0</v>
      </c>
      <c r="AT134" s="29">
        <v>-2.6767442725554287</v>
      </c>
      <c r="AU134" s="29">
        <v>0</v>
      </c>
      <c r="AV134" s="29">
        <v>0</v>
      </c>
      <c r="AW134" s="29">
        <v>0</v>
      </c>
      <c r="AX134" s="29">
        <v>-2.6767442725554287</v>
      </c>
      <c r="AY134" s="29">
        <v>0</v>
      </c>
      <c r="AZ134" s="107">
        <v>0</v>
      </c>
      <c r="BA134" s="29">
        <v>-2.6767442725554287</v>
      </c>
      <c r="BB134" s="29">
        <v>0</v>
      </c>
      <c r="BC134" s="29">
        <v>0</v>
      </c>
      <c r="BD134" s="29">
        <v>0</v>
      </c>
      <c r="BE134" s="29">
        <v>-2.6767442725554287</v>
      </c>
      <c r="BF134" s="29">
        <v>0</v>
      </c>
      <c r="BG134" s="29">
        <v>9999</v>
      </c>
      <c r="BH134" s="107">
        <v>0</v>
      </c>
      <c r="BI134" s="29">
        <v>9999</v>
      </c>
      <c r="BJ134" s="29">
        <v>9999</v>
      </c>
      <c r="BK134" s="29">
        <v>9999</v>
      </c>
      <c r="BL134" s="29">
        <v>9999</v>
      </c>
      <c r="BM134" s="29">
        <v>9999</v>
      </c>
      <c r="BN134" s="29">
        <v>-2.6767442725554287</v>
      </c>
      <c r="BO134" s="29">
        <v>0</v>
      </c>
      <c r="BP134" s="29">
        <v>0</v>
      </c>
      <c r="BQ134" s="29">
        <v>0</v>
      </c>
      <c r="BR134" s="29">
        <v>0</v>
      </c>
      <c r="BS134" s="29">
        <v>0</v>
      </c>
      <c r="BT134" s="29">
        <v>0</v>
      </c>
      <c r="BU134" s="29">
        <v>0</v>
      </c>
      <c r="BV134" s="29">
        <v>-11.863042038879659</v>
      </c>
      <c r="BW134" s="29">
        <v>0</v>
      </c>
      <c r="BX134" s="29">
        <v>0</v>
      </c>
      <c r="BY134" s="29"/>
      <c r="BZ134" s="29">
        <v>0</v>
      </c>
      <c r="CA134" s="29">
        <v>0</v>
      </c>
      <c r="CB134" s="29">
        <v>-14.539786311435087</v>
      </c>
      <c r="CC134" s="29">
        <v>0</v>
      </c>
      <c r="CD134" s="107">
        <v>0</v>
      </c>
      <c r="CE134" s="29">
        <v>9999</v>
      </c>
      <c r="CF134" s="29">
        <v>-4.8844021980146944E-2</v>
      </c>
      <c r="CG134" s="29">
        <v>0</v>
      </c>
      <c r="CH134" s="29">
        <v>-4.8844021980146944E-2</v>
      </c>
      <c r="CI134" s="29">
        <v>-2.4420478047890398E-3</v>
      </c>
      <c r="CJ134" s="29">
        <v>0</v>
      </c>
      <c r="CK134" s="29">
        <v>-2.4420478047890398E-3</v>
      </c>
      <c r="CL134" s="29"/>
      <c r="CM134" s="29">
        <v>0</v>
      </c>
      <c r="CN134" s="29"/>
      <c r="CO134" s="29">
        <v>0</v>
      </c>
      <c r="CP134" s="29">
        <v>0</v>
      </c>
      <c r="CQ134" s="29">
        <v>0</v>
      </c>
      <c r="CR134" s="29">
        <v>0</v>
      </c>
      <c r="CS134" s="29">
        <v>0</v>
      </c>
      <c r="CT134" s="29">
        <v>0</v>
      </c>
      <c r="CU134" s="29">
        <v>0</v>
      </c>
      <c r="CV134" s="29">
        <v>9999</v>
      </c>
      <c r="CW134" s="33">
        <v>9999</v>
      </c>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row>
    <row r="135" spans="1:131">
      <c r="A135" s="7" t="s">
        <v>480</v>
      </c>
      <c r="B135" s="7" t="s">
        <v>356</v>
      </c>
      <c r="C135" s="29">
        <v>13</v>
      </c>
      <c r="D135" s="29">
        <v>82.787030726763376</v>
      </c>
      <c r="E135" s="29">
        <v>0</v>
      </c>
      <c r="F135" s="29">
        <v>1183.5005381933324</v>
      </c>
      <c r="G135" s="29">
        <v>0</v>
      </c>
      <c r="H135" s="29">
        <v>0</v>
      </c>
      <c r="I135" s="29" t="s">
        <v>569</v>
      </c>
      <c r="J135" s="29"/>
      <c r="K135" s="29"/>
      <c r="L135" s="29">
        <v>88.893078795750682</v>
      </c>
      <c r="M135" s="29">
        <v>1.9781768073501068E-2</v>
      </c>
      <c r="N135" s="29">
        <v>1.9638992142553394E-2</v>
      </c>
      <c r="O135" s="29">
        <v>0</v>
      </c>
      <c r="P135" s="29">
        <v>0</v>
      </c>
      <c r="Q135" s="29">
        <v>0</v>
      </c>
      <c r="R135" s="29">
        <v>236.00581711026078</v>
      </c>
      <c r="S135" s="29">
        <v>545.37354705966402</v>
      </c>
      <c r="T135" s="29">
        <v>0</v>
      </c>
      <c r="U135" s="29">
        <v>856.63728665415113</v>
      </c>
      <c r="V135" s="29" t="s">
        <v>345</v>
      </c>
      <c r="W135" s="29" t="s">
        <v>345</v>
      </c>
      <c r="X135" s="29" t="s">
        <v>345</v>
      </c>
      <c r="Y135" s="29" t="s">
        <v>345</v>
      </c>
      <c r="Z135" s="29">
        <v>0</v>
      </c>
      <c r="AA135" s="29">
        <v>0</v>
      </c>
      <c r="AB135" s="29">
        <v>0</v>
      </c>
      <c r="AC135" s="29">
        <v>0</v>
      </c>
      <c r="AD135" s="29">
        <v>0</v>
      </c>
      <c r="AE135" s="29">
        <v>0</v>
      </c>
      <c r="AF135" s="29">
        <v>0</v>
      </c>
      <c r="AG135" s="29">
        <v>0</v>
      </c>
      <c r="AH135" s="29">
        <v>236.00581711026078</v>
      </c>
      <c r="AI135" s="29">
        <v>545.37354705966402</v>
      </c>
      <c r="AJ135" s="29">
        <v>0</v>
      </c>
      <c r="AK135" s="29">
        <v>856.63728665415113</v>
      </c>
      <c r="AL135" s="29">
        <v>1638.0166508240759</v>
      </c>
      <c r="AM135" s="29">
        <v>45.658421847009791</v>
      </c>
      <c r="AN135" s="29">
        <v>6.9898577787828966</v>
      </c>
      <c r="AO135" s="29">
        <v>0</v>
      </c>
      <c r="AP135" s="29">
        <v>0</v>
      </c>
      <c r="AQ135" s="29">
        <v>52.648279625792689</v>
      </c>
      <c r="AR135" s="29">
        <v>236.00581711026078</v>
      </c>
      <c r="AS135" s="107">
        <v>0.2230804319589956</v>
      </c>
      <c r="AT135" s="29">
        <v>45.658421847009791</v>
      </c>
      <c r="AU135" s="29">
        <v>8.2739096814102577</v>
      </c>
      <c r="AV135" s="29">
        <v>0</v>
      </c>
      <c r="AW135" s="29">
        <v>0</v>
      </c>
      <c r="AX135" s="29">
        <v>53.93233152842005</v>
      </c>
      <c r="AY135" s="29">
        <v>545.37354705966402</v>
      </c>
      <c r="AZ135" s="107">
        <v>9.8890626102405801E-2</v>
      </c>
      <c r="BA135" s="29">
        <v>45.658421847009791</v>
      </c>
      <c r="BB135" s="29">
        <v>15.263767460193154</v>
      </c>
      <c r="BC135" s="29">
        <v>0</v>
      </c>
      <c r="BD135" s="29">
        <v>0</v>
      </c>
      <c r="BE135" s="29">
        <v>60.922189307202949</v>
      </c>
      <c r="BF135" s="29">
        <v>781.37936416992477</v>
      </c>
      <c r="BG135" s="29">
        <v>634.15653191054412</v>
      </c>
      <c r="BH135" s="107">
        <v>7.7967491977372391E-2</v>
      </c>
      <c r="BI135" s="29">
        <v>195.35515414661705</v>
      </c>
      <c r="BJ135" s="29">
        <v>451.43604788161758</v>
      </c>
      <c r="BK135" s="29">
        <v>0</v>
      </c>
      <c r="BL135" s="29">
        <v>709.08637435778564</v>
      </c>
      <c r="BM135" s="29">
        <v>1355.8775763860201</v>
      </c>
      <c r="BN135" s="29">
        <v>45.658421847009791</v>
      </c>
      <c r="BO135" s="29">
        <v>0</v>
      </c>
      <c r="BP135" s="29">
        <v>15.263767460193154</v>
      </c>
      <c r="BQ135" s="29">
        <v>0</v>
      </c>
      <c r="BR135" s="29">
        <v>0</v>
      </c>
      <c r="BS135" s="29">
        <v>0</v>
      </c>
      <c r="BT135" s="29">
        <v>0</v>
      </c>
      <c r="BU135" s="29">
        <v>0</v>
      </c>
      <c r="BV135" s="29">
        <v>-8.223217636357516</v>
      </c>
      <c r="BW135" s="29">
        <v>0</v>
      </c>
      <c r="BX135" s="29">
        <v>1638.0166508240759</v>
      </c>
      <c r="BY135" s="29"/>
      <c r="BZ135" s="29">
        <v>0</v>
      </c>
      <c r="CA135" s="29">
        <v>0</v>
      </c>
      <c r="CB135" s="29">
        <v>52.698971670845431</v>
      </c>
      <c r="CC135" s="29">
        <v>1638.0166508240759</v>
      </c>
      <c r="CD135" s="107">
        <v>3.7006872737311056E-2</v>
      </c>
      <c r="CE135" s="29">
        <v>1350.0497213231522</v>
      </c>
      <c r="CF135" s="29">
        <v>0.84449436284190604</v>
      </c>
      <c r="CG135" s="29">
        <v>0</v>
      </c>
      <c r="CH135" s="29">
        <v>0.84449436284190604</v>
      </c>
      <c r="CI135" s="29">
        <v>4.2224212427981564E-2</v>
      </c>
      <c r="CJ135" s="29">
        <v>0</v>
      </c>
      <c r="CK135" s="29">
        <v>4.2224212427981564E-2</v>
      </c>
      <c r="CL135" s="29"/>
      <c r="CM135" s="29">
        <v>0</v>
      </c>
      <c r="CN135" s="29"/>
      <c r="CO135" s="29">
        <v>0</v>
      </c>
      <c r="CP135" s="29">
        <v>0</v>
      </c>
      <c r="CQ135" s="29">
        <v>0</v>
      </c>
      <c r="CR135" s="29">
        <v>0</v>
      </c>
      <c r="CS135" s="29">
        <v>0</v>
      </c>
      <c r="CT135" s="29">
        <v>0</v>
      </c>
      <c r="CU135" s="29">
        <v>0</v>
      </c>
      <c r="CV135" s="29">
        <v>9999</v>
      </c>
      <c r="CW135" s="33">
        <v>9999</v>
      </c>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row>
    <row r="136" spans="1:131">
      <c r="A136" s="7" t="s">
        <v>480</v>
      </c>
      <c r="B136" s="7" t="s">
        <v>357</v>
      </c>
      <c r="C136" s="29">
        <v>13</v>
      </c>
      <c r="D136" s="29">
        <v>-59.842825091439764</v>
      </c>
      <c r="E136" s="29">
        <v>-0.11974287287715706</v>
      </c>
      <c r="F136" s="29">
        <v>0</v>
      </c>
      <c r="G136" s="29">
        <v>0</v>
      </c>
      <c r="H136" s="29">
        <v>0</v>
      </c>
      <c r="I136" s="29" t="s">
        <v>551</v>
      </c>
      <c r="J136" s="29"/>
      <c r="K136" s="29"/>
      <c r="L136" s="29">
        <v>-64.533352056846383</v>
      </c>
      <c r="M136" s="29">
        <v>-3.3745707069976212E-2</v>
      </c>
      <c r="N136" s="29">
        <v>-3.350214568939075E-2</v>
      </c>
      <c r="O136" s="29">
        <v>-0.1209403018593561</v>
      </c>
      <c r="P136" s="29">
        <v>0</v>
      </c>
      <c r="Q136" s="29">
        <v>0</v>
      </c>
      <c r="R136" s="29">
        <v>0</v>
      </c>
      <c r="S136" s="29">
        <v>0</v>
      </c>
      <c r="T136" s="29">
        <v>0</v>
      </c>
      <c r="U136" s="29">
        <v>0</v>
      </c>
      <c r="V136" s="29" t="s">
        <v>345</v>
      </c>
      <c r="W136" s="29" t="s">
        <v>345</v>
      </c>
      <c r="X136" s="29" t="s">
        <v>345</v>
      </c>
      <c r="Y136" s="29" t="s">
        <v>345</v>
      </c>
      <c r="Z136" s="29">
        <v>0</v>
      </c>
      <c r="AA136" s="29">
        <v>0</v>
      </c>
      <c r="AB136" s="29">
        <v>0</v>
      </c>
      <c r="AC136" s="29">
        <v>0</v>
      </c>
      <c r="AD136" s="29">
        <v>0</v>
      </c>
      <c r="AE136" s="29">
        <v>0</v>
      </c>
      <c r="AF136" s="29">
        <v>0</v>
      </c>
      <c r="AG136" s="29">
        <v>0</v>
      </c>
      <c r="AH136" s="29">
        <v>0</v>
      </c>
      <c r="AI136" s="29">
        <v>0</v>
      </c>
      <c r="AJ136" s="29">
        <v>0</v>
      </c>
      <c r="AK136" s="29">
        <v>0</v>
      </c>
      <c r="AL136" s="29">
        <v>0</v>
      </c>
      <c r="AM136" s="29">
        <v>-33.991458174270697</v>
      </c>
      <c r="AN136" s="29">
        <v>-11.923994467389159</v>
      </c>
      <c r="AO136" s="29">
        <v>0</v>
      </c>
      <c r="AP136" s="29">
        <v>0</v>
      </c>
      <c r="AQ136" s="29">
        <v>-45.915452641659854</v>
      </c>
      <c r="AR136" s="29">
        <v>0</v>
      </c>
      <c r="AS136" s="107">
        <v>0</v>
      </c>
      <c r="AT136" s="29">
        <v>-33.991458174270697</v>
      </c>
      <c r="AU136" s="29">
        <v>-14.114457888439651</v>
      </c>
      <c r="AV136" s="29">
        <v>0</v>
      </c>
      <c r="AW136" s="29">
        <v>0</v>
      </c>
      <c r="AX136" s="29">
        <v>-48.105916062710349</v>
      </c>
      <c r="AY136" s="29">
        <v>0</v>
      </c>
      <c r="AZ136" s="107">
        <v>0</v>
      </c>
      <c r="BA136" s="29">
        <v>-33.991458174270697</v>
      </c>
      <c r="BB136" s="29">
        <v>-26.038452355828809</v>
      </c>
      <c r="BC136" s="29">
        <v>0</v>
      </c>
      <c r="BD136" s="29">
        <v>0</v>
      </c>
      <c r="BE136" s="29">
        <v>-60.029910530099507</v>
      </c>
      <c r="BF136" s="29">
        <v>0</v>
      </c>
      <c r="BG136" s="29">
        <v>9999</v>
      </c>
      <c r="BH136" s="107">
        <v>0</v>
      </c>
      <c r="BI136" s="29">
        <v>9999</v>
      </c>
      <c r="BJ136" s="29">
        <v>9999</v>
      </c>
      <c r="BK136" s="29">
        <v>9999</v>
      </c>
      <c r="BL136" s="29">
        <v>9999</v>
      </c>
      <c r="BM136" s="29">
        <v>9999</v>
      </c>
      <c r="BN136" s="29">
        <v>-33.991458174270697</v>
      </c>
      <c r="BO136" s="29">
        <v>-0.93845664620677471</v>
      </c>
      <c r="BP136" s="29">
        <v>-26.038452355828809</v>
      </c>
      <c r="BQ136" s="29">
        <v>0</v>
      </c>
      <c r="BR136" s="29">
        <v>0</v>
      </c>
      <c r="BS136" s="29">
        <v>0</v>
      </c>
      <c r="BT136" s="29">
        <v>0</v>
      </c>
      <c r="BU136" s="29">
        <v>0</v>
      </c>
      <c r="BV136" s="29">
        <v>-8.223217636357516</v>
      </c>
      <c r="BW136" s="29">
        <v>0</v>
      </c>
      <c r="BX136" s="29">
        <v>0</v>
      </c>
      <c r="BY136" s="29"/>
      <c r="BZ136" s="29">
        <v>0</v>
      </c>
      <c r="CA136" s="29">
        <v>0</v>
      </c>
      <c r="CB136" s="29">
        <v>-69.191584812663791</v>
      </c>
      <c r="CC136" s="29">
        <v>0</v>
      </c>
      <c r="CD136" s="107">
        <v>0</v>
      </c>
      <c r="CE136" s="29">
        <v>9999</v>
      </c>
      <c r="CF136" s="29">
        <v>-0.61307075538589195</v>
      </c>
      <c r="CG136" s="29">
        <v>-1.4150015317544657E-2</v>
      </c>
      <c r="CH136" s="29">
        <v>-0.62722077070343663</v>
      </c>
      <c r="CI136" s="29">
        <v>-3.0653342227002032E-2</v>
      </c>
      <c r="CJ136" s="29">
        <v>-7.0750076587723296E-4</v>
      </c>
      <c r="CK136" s="29">
        <v>-3.1360842992879265E-2</v>
      </c>
      <c r="CL136" s="29"/>
      <c r="CM136" s="29">
        <v>-0.11974287287715706</v>
      </c>
      <c r="CN136" s="29" t="s">
        <v>551</v>
      </c>
      <c r="CO136" s="29">
        <v>0</v>
      </c>
      <c r="CP136" s="29">
        <v>0</v>
      </c>
      <c r="CQ136" s="29">
        <v>-0.93845664620677471</v>
      </c>
      <c r="CR136" s="29">
        <v>0</v>
      </c>
      <c r="CS136" s="29">
        <v>0</v>
      </c>
      <c r="CT136" s="29">
        <v>-0.93845664620677471</v>
      </c>
      <c r="CU136" s="29">
        <v>0</v>
      </c>
      <c r="CV136" s="29">
        <v>9999</v>
      </c>
      <c r="CW136" s="107">
        <v>0</v>
      </c>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row>
    <row r="137" spans="1:131">
      <c r="A137" s="7" t="s">
        <v>480</v>
      </c>
      <c r="B137" s="7" t="s">
        <v>359</v>
      </c>
      <c r="C137" s="29">
        <v>13</v>
      </c>
      <c r="D137" s="29">
        <v>1.0000000000000001E-5</v>
      </c>
      <c r="E137" s="29">
        <v>0</v>
      </c>
      <c r="F137" s="29">
        <v>0</v>
      </c>
      <c r="G137" s="29">
        <v>0</v>
      </c>
      <c r="H137" s="29">
        <v>0</v>
      </c>
      <c r="I137" s="29" t="s">
        <v>552</v>
      </c>
      <c r="J137" s="29"/>
      <c r="K137" s="29"/>
      <c r="L137" s="29">
        <v>1.0717520953171996E-5</v>
      </c>
      <c r="M137" s="29">
        <v>0</v>
      </c>
      <c r="N137" s="29">
        <v>0</v>
      </c>
      <c r="O137" s="29">
        <v>0</v>
      </c>
      <c r="P137" s="29">
        <v>0</v>
      </c>
      <c r="Q137" s="29">
        <v>0</v>
      </c>
      <c r="R137" s="29">
        <v>0</v>
      </c>
      <c r="S137" s="29">
        <v>0</v>
      </c>
      <c r="T137" s="29">
        <v>0</v>
      </c>
      <c r="U137" s="29">
        <v>0</v>
      </c>
      <c r="V137" s="29" t="s">
        <v>345</v>
      </c>
      <c r="W137" s="29" t="s">
        <v>345</v>
      </c>
      <c r="X137" s="29" t="s">
        <v>345</v>
      </c>
      <c r="Y137" s="29" t="s">
        <v>345</v>
      </c>
      <c r="Z137" s="29">
        <v>0</v>
      </c>
      <c r="AA137" s="29">
        <v>0</v>
      </c>
      <c r="AB137" s="29">
        <v>0</v>
      </c>
      <c r="AC137" s="29">
        <v>0</v>
      </c>
      <c r="AD137" s="29">
        <v>0</v>
      </c>
      <c r="AE137" s="29">
        <v>0</v>
      </c>
      <c r="AF137" s="29">
        <v>0</v>
      </c>
      <c r="AG137" s="29">
        <v>0</v>
      </c>
      <c r="AH137" s="29">
        <v>0</v>
      </c>
      <c r="AI137" s="29">
        <v>0</v>
      </c>
      <c r="AJ137" s="29">
        <v>0</v>
      </c>
      <c r="AK137" s="29">
        <v>0</v>
      </c>
      <c r="AL137" s="29">
        <v>0</v>
      </c>
      <c r="AM137" s="29">
        <v>5.5800831647479789E-6</v>
      </c>
      <c r="AN137" s="29">
        <v>0</v>
      </c>
      <c r="AO137" s="29">
        <v>0</v>
      </c>
      <c r="AP137" s="29">
        <v>0</v>
      </c>
      <c r="AQ137" s="29">
        <v>5.5800831647479789E-6</v>
      </c>
      <c r="AR137" s="29">
        <v>0</v>
      </c>
      <c r="AS137" s="33">
        <v>9999</v>
      </c>
      <c r="AT137" s="29">
        <v>5.5800831647479789E-6</v>
      </c>
      <c r="AU137" s="29">
        <v>0</v>
      </c>
      <c r="AV137" s="29">
        <v>0</v>
      </c>
      <c r="AW137" s="29">
        <v>0</v>
      </c>
      <c r="AX137" s="29">
        <v>5.5800831647479789E-6</v>
      </c>
      <c r="AY137" s="29">
        <v>0</v>
      </c>
      <c r="AZ137" s="33">
        <v>9999</v>
      </c>
      <c r="BA137" s="29">
        <v>5.5800831647479789E-6</v>
      </c>
      <c r="BB137" s="29">
        <v>0</v>
      </c>
      <c r="BC137" s="29">
        <v>0</v>
      </c>
      <c r="BD137" s="29">
        <v>0</v>
      </c>
      <c r="BE137" s="29">
        <v>5.5800831647479789E-6</v>
      </c>
      <c r="BF137" s="29">
        <v>0</v>
      </c>
      <c r="BG137" s="29">
        <v>0</v>
      </c>
      <c r="BH137" s="33">
        <v>9999</v>
      </c>
      <c r="BI137" s="29">
        <v>0</v>
      </c>
      <c r="BJ137" s="29">
        <v>0</v>
      </c>
      <c r="BK137" s="29">
        <v>0</v>
      </c>
      <c r="BL137" s="29">
        <v>0</v>
      </c>
      <c r="BM137" s="29">
        <v>0</v>
      </c>
      <c r="BN137" s="29">
        <v>5.5800831647479789E-6</v>
      </c>
      <c r="BO137" s="29">
        <v>0</v>
      </c>
      <c r="BP137" s="29">
        <v>0</v>
      </c>
      <c r="BQ137" s="29">
        <v>0</v>
      </c>
      <c r="BR137" s="29">
        <v>0</v>
      </c>
      <c r="BS137" s="29">
        <v>0</v>
      </c>
      <c r="BT137" s="29">
        <v>0</v>
      </c>
      <c r="BU137" s="29">
        <v>0</v>
      </c>
      <c r="BV137" s="29">
        <v>-8.223217636357516</v>
      </c>
      <c r="BW137" s="29">
        <v>0</v>
      </c>
      <c r="BX137" s="29">
        <v>0</v>
      </c>
      <c r="BY137" s="29"/>
      <c r="BZ137" s="29">
        <v>0</v>
      </c>
      <c r="CA137" s="29">
        <v>0</v>
      </c>
      <c r="CB137" s="29">
        <v>-8.2232120562743507</v>
      </c>
      <c r="CC137" s="29">
        <v>0</v>
      </c>
      <c r="CD137" s="107">
        <v>6.7857661216171862E-7</v>
      </c>
      <c r="CE137" s="29">
        <v>56456968.888626695</v>
      </c>
      <c r="CF137" s="29">
        <v>1.018228403603893E-7</v>
      </c>
      <c r="CG137" s="29">
        <v>0</v>
      </c>
      <c r="CH137" s="29">
        <v>1.018228403603893E-7</v>
      </c>
      <c r="CI137" s="29">
        <v>5.090822452756698E-9</v>
      </c>
      <c r="CJ137" s="29">
        <v>0</v>
      </c>
      <c r="CK137" s="29">
        <v>5.090822452756698E-9</v>
      </c>
      <c r="CL137" s="29"/>
      <c r="CM137" s="29">
        <v>0</v>
      </c>
      <c r="CN137" s="29"/>
      <c r="CO137" s="29">
        <v>0</v>
      </c>
      <c r="CP137" s="29">
        <v>0</v>
      </c>
      <c r="CQ137" s="29">
        <v>0</v>
      </c>
      <c r="CR137" s="29">
        <v>0</v>
      </c>
      <c r="CS137" s="29">
        <v>0</v>
      </c>
      <c r="CT137" s="29">
        <v>0</v>
      </c>
      <c r="CU137" s="29">
        <v>0</v>
      </c>
      <c r="CV137" s="29">
        <v>9999</v>
      </c>
      <c r="CW137" s="33">
        <v>9999</v>
      </c>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row>
    <row r="138" spans="1:131">
      <c r="A138" s="7" t="s">
        <v>481</v>
      </c>
      <c r="B138" s="7" t="s">
        <v>356</v>
      </c>
      <c r="C138" s="29">
        <v>13</v>
      </c>
      <c r="D138" s="29">
        <v>88.060231678776773</v>
      </c>
      <c r="E138" s="29">
        <v>0</v>
      </c>
      <c r="F138" s="29">
        <v>1183.5005381933324</v>
      </c>
      <c r="G138" s="29">
        <v>0</v>
      </c>
      <c r="H138" s="29">
        <v>0</v>
      </c>
      <c r="I138" s="29" t="s">
        <v>569</v>
      </c>
      <c r="J138" s="29"/>
      <c r="K138" s="29"/>
      <c r="L138" s="29">
        <v>94.555210455965153</v>
      </c>
      <c r="M138" s="29">
        <v>2.104178715284186E-2</v>
      </c>
      <c r="N138" s="29">
        <v>2.0889916969226964E-2</v>
      </c>
      <c r="O138" s="29">
        <v>0</v>
      </c>
      <c r="P138" s="29">
        <v>0</v>
      </c>
      <c r="Q138" s="29">
        <v>0</v>
      </c>
      <c r="R138" s="29">
        <v>236.00581711026078</v>
      </c>
      <c r="S138" s="29">
        <v>545.37354705966402</v>
      </c>
      <c r="T138" s="29">
        <v>0</v>
      </c>
      <c r="U138" s="29">
        <v>856.63728665415113</v>
      </c>
      <c r="V138" s="29" t="s">
        <v>345</v>
      </c>
      <c r="W138" s="29" t="s">
        <v>345</v>
      </c>
      <c r="X138" s="29" t="s">
        <v>345</v>
      </c>
      <c r="Y138" s="29" t="s">
        <v>345</v>
      </c>
      <c r="Z138" s="29">
        <v>0</v>
      </c>
      <c r="AA138" s="29">
        <v>0</v>
      </c>
      <c r="AB138" s="29">
        <v>0</v>
      </c>
      <c r="AC138" s="29">
        <v>0</v>
      </c>
      <c r="AD138" s="29">
        <v>0</v>
      </c>
      <c r="AE138" s="29">
        <v>0</v>
      </c>
      <c r="AF138" s="29">
        <v>0</v>
      </c>
      <c r="AG138" s="29">
        <v>0</v>
      </c>
      <c r="AH138" s="29">
        <v>236.00581711026078</v>
      </c>
      <c r="AI138" s="29">
        <v>545.37354705966402</v>
      </c>
      <c r="AJ138" s="29">
        <v>0</v>
      </c>
      <c r="AK138" s="29">
        <v>856.63728665415113</v>
      </c>
      <c r="AL138" s="29">
        <v>1638.0166508240759</v>
      </c>
      <c r="AM138" s="29">
        <v>48.566679715874862</v>
      </c>
      <c r="AN138" s="29">
        <v>7.4350836115002004</v>
      </c>
      <c r="AO138" s="29">
        <v>0</v>
      </c>
      <c r="AP138" s="29">
        <v>0</v>
      </c>
      <c r="AQ138" s="29">
        <v>56.001763327375059</v>
      </c>
      <c r="AR138" s="29">
        <v>236.00581711026078</v>
      </c>
      <c r="AS138" s="107">
        <v>0.23728975841816349</v>
      </c>
      <c r="AT138" s="29">
        <v>48.566679715874862</v>
      </c>
      <c r="AU138" s="29">
        <v>8.800924456863255</v>
      </c>
      <c r="AV138" s="29">
        <v>0</v>
      </c>
      <c r="AW138" s="29">
        <v>0</v>
      </c>
      <c r="AX138" s="29">
        <v>57.367604172738119</v>
      </c>
      <c r="AY138" s="29">
        <v>545.37354705966402</v>
      </c>
      <c r="AZ138" s="107">
        <v>0.10518956132366664</v>
      </c>
      <c r="BA138" s="29">
        <v>48.566679715874862</v>
      </c>
      <c r="BB138" s="29">
        <v>16.236008068363454</v>
      </c>
      <c r="BC138" s="29">
        <v>0</v>
      </c>
      <c r="BD138" s="29">
        <v>0</v>
      </c>
      <c r="BE138" s="29">
        <v>64.802687784238316</v>
      </c>
      <c r="BF138" s="29">
        <v>781.37936416992477</v>
      </c>
      <c r="BG138" s="29">
        <v>595.42554157281165</v>
      </c>
      <c r="BH138" s="107">
        <v>8.2933707691499547E-2</v>
      </c>
      <c r="BI138" s="29">
        <v>183.6569452594953</v>
      </c>
      <c r="BJ138" s="29">
        <v>424.40326643100695</v>
      </c>
      <c r="BK138" s="29">
        <v>0</v>
      </c>
      <c r="BL138" s="29">
        <v>666.62503996154226</v>
      </c>
      <c r="BM138" s="29">
        <v>1274.6852516520444</v>
      </c>
      <c r="BN138" s="29">
        <v>48.566679715874862</v>
      </c>
      <c r="BO138" s="29">
        <v>0</v>
      </c>
      <c r="BP138" s="29">
        <v>16.236008068363454</v>
      </c>
      <c r="BQ138" s="29">
        <v>0</v>
      </c>
      <c r="BR138" s="29">
        <v>0</v>
      </c>
      <c r="BS138" s="29">
        <v>0</v>
      </c>
      <c r="BT138" s="29">
        <v>0</v>
      </c>
      <c r="BU138" s="29">
        <v>0</v>
      </c>
      <c r="BV138" s="29">
        <v>-5.0412411097061884</v>
      </c>
      <c r="BW138" s="29">
        <v>0</v>
      </c>
      <c r="BX138" s="29">
        <v>1638.0166508240759</v>
      </c>
      <c r="BY138" s="29"/>
      <c r="BZ138" s="29">
        <v>0</v>
      </c>
      <c r="CA138" s="29">
        <v>0</v>
      </c>
      <c r="CB138" s="29">
        <v>59.761446674532124</v>
      </c>
      <c r="CC138" s="29">
        <v>1638.0166508240759</v>
      </c>
      <c r="CD138" s="107">
        <v>3.9440294893060272E-2</v>
      </c>
      <c r="CE138" s="29">
        <v>1265.973615948767</v>
      </c>
      <c r="CF138" s="29">
        <v>0.89828525785305102</v>
      </c>
      <c r="CG138" s="29">
        <v>0</v>
      </c>
      <c r="CH138" s="29">
        <v>0.89828525785305102</v>
      </c>
      <c r="CI138" s="29">
        <v>4.4913724966583427E-2</v>
      </c>
      <c r="CJ138" s="29">
        <v>0</v>
      </c>
      <c r="CK138" s="29">
        <v>4.4913724966583427E-2</v>
      </c>
      <c r="CL138" s="29"/>
      <c r="CM138" s="29">
        <v>0</v>
      </c>
      <c r="CN138" s="29"/>
      <c r="CO138" s="29">
        <v>0</v>
      </c>
      <c r="CP138" s="29">
        <v>0</v>
      </c>
      <c r="CQ138" s="29">
        <v>0</v>
      </c>
      <c r="CR138" s="29">
        <v>0</v>
      </c>
      <c r="CS138" s="29">
        <v>0</v>
      </c>
      <c r="CT138" s="29">
        <v>0</v>
      </c>
      <c r="CU138" s="29">
        <v>0</v>
      </c>
      <c r="CV138" s="29">
        <v>9999</v>
      </c>
      <c r="CW138" s="33">
        <v>9999</v>
      </c>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row>
    <row r="139" spans="1:131">
      <c r="A139" s="7" t="s">
        <v>481</v>
      </c>
      <c r="B139" s="7" t="s">
        <v>357</v>
      </c>
      <c r="C139" s="29">
        <v>13</v>
      </c>
      <c r="D139" s="29">
        <v>-36.730358594795504</v>
      </c>
      <c r="E139" s="29">
        <v>-6.9490010107839964E-2</v>
      </c>
      <c r="F139" s="29">
        <v>0</v>
      </c>
      <c r="G139" s="29">
        <v>0</v>
      </c>
      <c r="H139" s="29">
        <v>0</v>
      </c>
      <c r="I139" s="29" t="s">
        <v>552</v>
      </c>
      <c r="J139" s="29"/>
      <c r="K139" s="29"/>
      <c r="L139" s="29">
        <v>-39.365838785724186</v>
      </c>
      <c r="M139" s="29">
        <v>0</v>
      </c>
      <c r="N139" s="29">
        <v>0</v>
      </c>
      <c r="O139" s="29">
        <v>-7.0184909947459184E-2</v>
      </c>
      <c r="P139" s="29">
        <v>0</v>
      </c>
      <c r="Q139" s="29">
        <v>0</v>
      </c>
      <c r="R139" s="29">
        <v>0</v>
      </c>
      <c r="S139" s="29">
        <v>0</v>
      </c>
      <c r="T139" s="29">
        <v>0</v>
      </c>
      <c r="U139" s="29">
        <v>0</v>
      </c>
      <c r="V139" s="29" t="s">
        <v>345</v>
      </c>
      <c r="W139" s="29" t="s">
        <v>345</v>
      </c>
      <c r="X139" s="29" t="s">
        <v>345</v>
      </c>
      <c r="Y139" s="29" t="s">
        <v>345</v>
      </c>
      <c r="Z139" s="29">
        <v>0</v>
      </c>
      <c r="AA139" s="29">
        <v>0</v>
      </c>
      <c r="AB139" s="29">
        <v>0</v>
      </c>
      <c r="AC139" s="29">
        <v>0</v>
      </c>
      <c r="AD139" s="29">
        <v>0</v>
      </c>
      <c r="AE139" s="29">
        <v>0</v>
      </c>
      <c r="AF139" s="29">
        <v>0</v>
      </c>
      <c r="AG139" s="29">
        <v>0</v>
      </c>
      <c r="AH139" s="29">
        <v>0</v>
      </c>
      <c r="AI139" s="29">
        <v>0</v>
      </c>
      <c r="AJ139" s="29">
        <v>0</v>
      </c>
      <c r="AK139" s="29">
        <v>0</v>
      </c>
      <c r="AL139" s="29">
        <v>0</v>
      </c>
      <c r="AM139" s="29">
        <v>-20.495845562997456</v>
      </c>
      <c r="AN139" s="29">
        <v>0</v>
      </c>
      <c r="AO139" s="29">
        <v>0</v>
      </c>
      <c r="AP139" s="29">
        <v>0</v>
      </c>
      <c r="AQ139" s="29">
        <v>-20.495845562997456</v>
      </c>
      <c r="AR139" s="29">
        <v>0</v>
      </c>
      <c r="AS139" s="107">
        <v>0</v>
      </c>
      <c r="AT139" s="29">
        <v>-20.495845562997456</v>
      </c>
      <c r="AU139" s="29">
        <v>0</v>
      </c>
      <c r="AV139" s="29">
        <v>0</v>
      </c>
      <c r="AW139" s="29">
        <v>0</v>
      </c>
      <c r="AX139" s="29">
        <v>-20.495845562997456</v>
      </c>
      <c r="AY139" s="29">
        <v>0</v>
      </c>
      <c r="AZ139" s="107">
        <v>0</v>
      </c>
      <c r="BA139" s="29">
        <v>-20.495845562997456</v>
      </c>
      <c r="BB139" s="29">
        <v>0</v>
      </c>
      <c r="BC139" s="29">
        <v>0</v>
      </c>
      <c r="BD139" s="29">
        <v>0</v>
      </c>
      <c r="BE139" s="29">
        <v>-20.495845562997456</v>
      </c>
      <c r="BF139" s="29">
        <v>0</v>
      </c>
      <c r="BG139" s="29">
        <v>9999</v>
      </c>
      <c r="BH139" s="107">
        <v>0</v>
      </c>
      <c r="BI139" s="29">
        <v>9999</v>
      </c>
      <c r="BJ139" s="29">
        <v>9999</v>
      </c>
      <c r="BK139" s="29">
        <v>9999</v>
      </c>
      <c r="BL139" s="29">
        <v>9999</v>
      </c>
      <c r="BM139" s="29">
        <v>9999</v>
      </c>
      <c r="BN139" s="29">
        <v>-20.495845562997456</v>
      </c>
      <c r="BO139" s="29">
        <v>-0.53757135850373328</v>
      </c>
      <c r="BP139" s="29">
        <v>0</v>
      </c>
      <c r="BQ139" s="29">
        <v>0</v>
      </c>
      <c r="BR139" s="29">
        <v>0</v>
      </c>
      <c r="BS139" s="29">
        <v>0</v>
      </c>
      <c r="BT139" s="29">
        <v>0</v>
      </c>
      <c r="BU139" s="29">
        <v>0</v>
      </c>
      <c r="BV139" s="29">
        <v>-5.0412411097061884</v>
      </c>
      <c r="BW139" s="29">
        <v>0</v>
      </c>
      <c r="BX139" s="29">
        <v>0</v>
      </c>
      <c r="BY139" s="29"/>
      <c r="BZ139" s="29">
        <v>0</v>
      </c>
      <c r="CA139" s="29">
        <v>0</v>
      </c>
      <c r="CB139" s="29">
        <v>-26.074658031207377</v>
      </c>
      <c r="CC139" s="29">
        <v>0</v>
      </c>
      <c r="CD139" s="107">
        <v>0</v>
      </c>
      <c r="CE139" s="29">
        <v>9999</v>
      </c>
      <c r="CF139" s="29">
        <v>-0.37399894395777133</v>
      </c>
      <c r="CG139" s="29">
        <v>-8.2116344638527225E-3</v>
      </c>
      <c r="CH139" s="29">
        <v>-0.38221057842162404</v>
      </c>
      <c r="CI139" s="29">
        <v>-1.8698773423218989E-2</v>
      </c>
      <c r="CJ139" s="29">
        <v>-4.1058172319263629E-4</v>
      </c>
      <c r="CK139" s="29">
        <v>-1.9109355146411627E-2</v>
      </c>
      <c r="CL139" s="29"/>
      <c r="CM139" s="29">
        <v>-6.9490010107839964E-2</v>
      </c>
      <c r="CN139" s="29" t="s">
        <v>553</v>
      </c>
      <c r="CO139" s="29">
        <v>0</v>
      </c>
      <c r="CP139" s="29">
        <v>0</v>
      </c>
      <c r="CQ139" s="29">
        <v>-0.53757135850373328</v>
      </c>
      <c r="CR139" s="29">
        <v>0</v>
      </c>
      <c r="CS139" s="29">
        <v>0</v>
      </c>
      <c r="CT139" s="29">
        <v>-0.53757135850373328</v>
      </c>
      <c r="CU139" s="29">
        <v>0</v>
      </c>
      <c r="CV139" s="29">
        <v>9999</v>
      </c>
      <c r="CW139" s="107">
        <v>0</v>
      </c>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row>
    <row r="140" spans="1:131">
      <c r="A140" s="7" t="s">
        <v>481</v>
      </c>
      <c r="B140" s="7" t="s">
        <v>359</v>
      </c>
      <c r="C140" s="29">
        <v>13</v>
      </c>
      <c r="D140" s="29">
        <v>-4.8043358751706648</v>
      </c>
      <c r="E140" s="29">
        <v>0</v>
      </c>
      <c r="F140" s="29">
        <v>0</v>
      </c>
      <c r="G140" s="29">
        <v>0</v>
      </c>
      <c r="H140" s="29">
        <v>0</v>
      </c>
      <c r="I140" s="29" t="s">
        <v>552</v>
      </c>
      <c r="J140" s="29"/>
      <c r="K140" s="29"/>
      <c r="L140" s="29">
        <v>-5.1490570408217513</v>
      </c>
      <c r="M140" s="29">
        <v>0</v>
      </c>
      <c r="N140" s="29">
        <v>0</v>
      </c>
      <c r="O140" s="29">
        <v>0</v>
      </c>
      <c r="P140" s="29">
        <v>0</v>
      </c>
      <c r="Q140" s="29">
        <v>0</v>
      </c>
      <c r="R140" s="29">
        <v>0</v>
      </c>
      <c r="S140" s="29">
        <v>0</v>
      </c>
      <c r="T140" s="29">
        <v>0</v>
      </c>
      <c r="U140" s="29">
        <v>0</v>
      </c>
      <c r="V140" s="29" t="s">
        <v>345</v>
      </c>
      <c r="W140" s="29" t="s">
        <v>345</v>
      </c>
      <c r="X140" s="29" t="s">
        <v>345</v>
      </c>
      <c r="Y140" s="29" t="s">
        <v>345</v>
      </c>
      <c r="Z140" s="29">
        <v>0</v>
      </c>
      <c r="AA140" s="29">
        <v>0</v>
      </c>
      <c r="AB140" s="29">
        <v>0</v>
      </c>
      <c r="AC140" s="29">
        <v>0</v>
      </c>
      <c r="AD140" s="29">
        <v>0</v>
      </c>
      <c r="AE140" s="29">
        <v>0</v>
      </c>
      <c r="AF140" s="29">
        <v>0</v>
      </c>
      <c r="AG140" s="29">
        <v>0</v>
      </c>
      <c r="AH140" s="29">
        <v>0</v>
      </c>
      <c r="AI140" s="29">
        <v>0</v>
      </c>
      <c r="AJ140" s="29">
        <v>0</v>
      </c>
      <c r="AK140" s="29">
        <v>0</v>
      </c>
      <c r="AL140" s="29">
        <v>0</v>
      </c>
      <c r="AM140" s="29">
        <v>-2.6808593734834583</v>
      </c>
      <c r="AN140" s="29">
        <v>0</v>
      </c>
      <c r="AO140" s="29">
        <v>0</v>
      </c>
      <c r="AP140" s="29">
        <v>0</v>
      </c>
      <c r="AQ140" s="29">
        <v>-2.6808593734834583</v>
      </c>
      <c r="AR140" s="29">
        <v>0</v>
      </c>
      <c r="AS140" s="107">
        <v>0</v>
      </c>
      <c r="AT140" s="29">
        <v>-2.6808593734834583</v>
      </c>
      <c r="AU140" s="29">
        <v>0</v>
      </c>
      <c r="AV140" s="29">
        <v>0</v>
      </c>
      <c r="AW140" s="29">
        <v>0</v>
      </c>
      <c r="AX140" s="29">
        <v>-2.6808593734834583</v>
      </c>
      <c r="AY140" s="29">
        <v>0</v>
      </c>
      <c r="AZ140" s="107">
        <v>0</v>
      </c>
      <c r="BA140" s="29">
        <v>-2.6808593734834583</v>
      </c>
      <c r="BB140" s="29">
        <v>0</v>
      </c>
      <c r="BC140" s="29">
        <v>0</v>
      </c>
      <c r="BD140" s="29">
        <v>0</v>
      </c>
      <c r="BE140" s="29">
        <v>-2.6808593734834583</v>
      </c>
      <c r="BF140" s="29">
        <v>0</v>
      </c>
      <c r="BG140" s="29">
        <v>9999</v>
      </c>
      <c r="BH140" s="107">
        <v>0</v>
      </c>
      <c r="BI140" s="29">
        <v>9999</v>
      </c>
      <c r="BJ140" s="29">
        <v>9999</v>
      </c>
      <c r="BK140" s="29">
        <v>9999</v>
      </c>
      <c r="BL140" s="29">
        <v>9999</v>
      </c>
      <c r="BM140" s="29">
        <v>9999</v>
      </c>
      <c r="BN140" s="29">
        <v>-2.6808593734834583</v>
      </c>
      <c r="BO140" s="29">
        <v>0</v>
      </c>
      <c r="BP140" s="29">
        <v>0</v>
      </c>
      <c r="BQ140" s="29">
        <v>0</v>
      </c>
      <c r="BR140" s="29">
        <v>0</v>
      </c>
      <c r="BS140" s="29">
        <v>0</v>
      </c>
      <c r="BT140" s="29">
        <v>0</v>
      </c>
      <c r="BU140" s="29">
        <v>0</v>
      </c>
      <c r="BV140" s="29">
        <v>-5.0412411097061884</v>
      </c>
      <c r="BW140" s="29">
        <v>0</v>
      </c>
      <c r="BX140" s="29">
        <v>0</v>
      </c>
      <c r="BY140" s="29"/>
      <c r="BZ140" s="29">
        <v>0</v>
      </c>
      <c r="CA140" s="29">
        <v>0</v>
      </c>
      <c r="CB140" s="29">
        <v>-7.7221004831896467</v>
      </c>
      <c r="CC140" s="29">
        <v>0</v>
      </c>
      <c r="CD140" s="107">
        <v>0</v>
      </c>
      <c r="CE140" s="29">
        <v>9999</v>
      </c>
      <c r="CF140" s="29">
        <v>-4.8919112485519389E-2</v>
      </c>
      <c r="CG140" s="29">
        <v>0</v>
      </c>
      <c r="CH140" s="29">
        <v>-4.8919112485519389E-2</v>
      </c>
      <c r="CI140" s="29">
        <v>-2.4458020943903314E-3</v>
      </c>
      <c r="CJ140" s="29">
        <v>0</v>
      </c>
      <c r="CK140" s="29">
        <v>-2.4458020943903314E-3</v>
      </c>
      <c r="CL140" s="29"/>
      <c r="CM140" s="29">
        <v>0</v>
      </c>
      <c r="CN140" s="29"/>
      <c r="CO140" s="29">
        <v>0</v>
      </c>
      <c r="CP140" s="29">
        <v>0</v>
      </c>
      <c r="CQ140" s="29">
        <v>0</v>
      </c>
      <c r="CR140" s="29">
        <v>0</v>
      </c>
      <c r="CS140" s="29">
        <v>0</v>
      </c>
      <c r="CT140" s="29">
        <v>0</v>
      </c>
      <c r="CU140" s="29">
        <v>0</v>
      </c>
      <c r="CV140" s="29">
        <v>9999</v>
      </c>
      <c r="CW140" s="33">
        <v>9999</v>
      </c>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row>
    <row r="141" spans="1:131">
      <c r="A141" s="7" t="s">
        <v>482</v>
      </c>
      <c r="B141" s="7" t="s">
        <v>356</v>
      </c>
      <c r="C141" s="29">
        <v>13</v>
      </c>
      <c r="D141" s="29">
        <v>82.759162084041577</v>
      </c>
      <c r="E141" s="29">
        <v>0</v>
      </c>
      <c r="F141" s="29">
        <v>1183.5005381933324</v>
      </c>
      <c r="G141" s="29">
        <v>0</v>
      </c>
      <c r="H141" s="29">
        <v>0</v>
      </c>
      <c r="I141" s="29" t="s">
        <v>569</v>
      </c>
      <c r="J141" s="29"/>
      <c r="K141" s="29"/>
      <c r="L141" s="29">
        <v>88.863154670780247</v>
      </c>
      <c r="M141" s="29">
        <v>1.9775108926265005E-2</v>
      </c>
      <c r="N141" s="29">
        <v>1.9632381058055828E-2</v>
      </c>
      <c r="O141" s="29">
        <v>0</v>
      </c>
      <c r="P141" s="29">
        <v>0</v>
      </c>
      <c r="Q141" s="29">
        <v>0</v>
      </c>
      <c r="R141" s="29">
        <v>236.00581711026078</v>
      </c>
      <c r="S141" s="29">
        <v>545.37354705966402</v>
      </c>
      <c r="T141" s="29">
        <v>0</v>
      </c>
      <c r="U141" s="29">
        <v>856.63728665415113</v>
      </c>
      <c r="V141" s="29" t="s">
        <v>345</v>
      </c>
      <c r="W141" s="29" t="s">
        <v>345</v>
      </c>
      <c r="X141" s="29" t="s">
        <v>345</v>
      </c>
      <c r="Y141" s="29" t="s">
        <v>345</v>
      </c>
      <c r="Z141" s="29">
        <v>0</v>
      </c>
      <c r="AA141" s="29">
        <v>0</v>
      </c>
      <c r="AB141" s="29">
        <v>0</v>
      </c>
      <c r="AC141" s="29">
        <v>0</v>
      </c>
      <c r="AD141" s="29">
        <v>0</v>
      </c>
      <c r="AE141" s="29">
        <v>0</v>
      </c>
      <c r="AF141" s="29">
        <v>0</v>
      </c>
      <c r="AG141" s="29">
        <v>0</v>
      </c>
      <c r="AH141" s="29">
        <v>236.00581711026078</v>
      </c>
      <c r="AI141" s="29">
        <v>545.37354705966402</v>
      </c>
      <c r="AJ141" s="29">
        <v>0</v>
      </c>
      <c r="AK141" s="29">
        <v>856.63728665415113</v>
      </c>
      <c r="AL141" s="29">
        <v>1638.0166508240759</v>
      </c>
      <c r="AM141" s="29">
        <v>45.643051827883362</v>
      </c>
      <c r="AN141" s="29">
        <v>6.9875047791958478</v>
      </c>
      <c r="AO141" s="29">
        <v>0</v>
      </c>
      <c r="AP141" s="29">
        <v>0</v>
      </c>
      <c r="AQ141" s="29">
        <v>52.630556607079207</v>
      </c>
      <c r="AR141" s="29">
        <v>236.00581711026078</v>
      </c>
      <c r="AS141" s="107">
        <v>0.22300533627309052</v>
      </c>
      <c r="AT141" s="29">
        <v>45.643051827883362</v>
      </c>
      <c r="AU141" s="29">
        <v>8.2711244307399596</v>
      </c>
      <c r="AV141" s="29">
        <v>0</v>
      </c>
      <c r="AW141" s="29">
        <v>0</v>
      </c>
      <c r="AX141" s="29">
        <v>53.914176258623321</v>
      </c>
      <c r="AY141" s="29">
        <v>545.37354705966402</v>
      </c>
      <c r="AZ141" s="107">
        <v>9.8857336497703466E-2</v>
      </c>
      <c r="BA141" s="29">
        <v>45.643051827883362</v>
      </c>
      <c r="BB141" s="29">
        <v>15.258629209935808</v>
      </c>
      <c r="BC141" s="29">
        <v>0</v>
      </c>
      <c r="BD141" s="29">
        <v>0</v>
      </c>
      <c r="BE141" s="29">
        <v>60.901681037819166</v>
      </c>
      <c r="BF141" s="29">
        <v>781.37936416992477</v>
      </c>
      <c r="BG141" s="29">
        <v>634.37433490021931</v>
      </c>
      <c r="BH141" s="107">
        <v>7.7941245738574458E-2</v>
      </c>
      <c r="BI141" s="29">
        <v>195.42093880245059</v>
      </c>
      <c r="BJ141" s="29">
        <v>451.58806621545926</v>
      </c>
      <c r="BK141" s="29">
        <v>0</v>
      </c>
      <c r="BL141" s="29">
        <v>709.32515486653222</v>
      </c>
      <c r="BM141" s="29">
        <v>1356.334159884442</v>
      </c>
      <c r="BN141" s="29">
        <v>45.643051827883362</v>
      </c>
      <c r="BO141" s="29">
        <v>0</v>
      </c>
      <c r="BP141" s="29">
        <v>15.258629209935808</v>
      </c>
      <c r="BQ141" s="29">
        <v>0</v>
      </c>
      <c r="BR141" s="29">
        <v>0</v>
      </c>
      <c r="BS141" s="29">
        <v>0</v>
      </c>
      <c r="BT141" s="29">
        <v>0</v>
      </c>
      <c r="BU141" s="29">
        <v>0</v>
      </c>
      <c r="BV141" s="29">
        <v>-7.2951504954938624</v>
      </c>
      <c r="BW141" s="29">
        <v>0</v>
      </c>
      <c r="BX141" s="29">
        <v>1638.0166508240759</v>
      </c>
      <c r="BY141" s="29"/>
      <c r="BZ141" s="29">
        <v>0</v>
      </c>
      <c r="CA141" s="29">
        <v>0</v>
      </c>
      <c r="CB141" s="29">
        <v>53.606530542325302</v>
      </c>
      <c r="CC141" s="29">
        <v>1638.0166508240759</v>
      </c>
      <c r="CD141" s="107">
        <v>3.7015282446144812E-2</v>
      </c>
      <c r="CE141" s="29">
        <v>1349.7401254425599</v>
      </c>
      <c r="CF141" s="29">
        <v>0.84421008024991151</v>
      </c>
      <c r="CG141" s="29">
        <v>0</v>
      </c>
      <c r="CH141" s="29">
        <v>0.84421008024991151</v>
      </c>
      <c r="CI141" s="29">
        <v>4.2209998468620606E-2</v>
      </c>
      <c r="CJ141" s="29">
        <v>0</v>
      </c>
      <c r="CK141" s="29">
        <v>4.2209998468620606E-2</v>
      </c>
      <c r="CL141" s="29"/>
      <c r="CM141" s="29">
        <v>0</v>
      </c>
      <c r="CN141" s="29"/>
      <c r="CO141" s="29">
        <v>0</v>
      </c>
      <c r="CP141" s="29">
        <v>0</v>
      </c>
      <c r="CQ141" s="29">
        <v>0</v>
      </c>
      <c r="CR141" s="29">
        <v>0</v>
      </c>
      <c r="CS141" s="29">
        <v>0</v>
      </c>
      <c r="CT141" s="29">
        <v>0</v>
      </c>
      <c r="CU141" s="29">
        <v>0</v>
      </c>
      <c r="CV141" s="29">
        <v>9999</v>
      </c>
      <c r="CW141" s="33">
        <v>9999</v>
      </c>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row>
    <row r="142" spans="1:131">
      <c r="A142" s="7" t="s">
        <v>482</v>
      </c>
      <c r="B142" s="7" t="s">
        <v>357</v>
      </c>
      <c r="C142" s="29">
        <v>13</v>
      </c>
      <c r="D142" s="29">
        <v>-53.088317947567184</v>
      </c>
      <c r="E142" s="29">
        <v>-0.10629003081412733</v>
      </c>
      <c r="F142" s="29">
        <v>0</v>
      </c>
      <c r="G142" s="29">
        <v>0</v>
      </c>
      <c r="H142" s="29">
        <v>0</v>
      </c>
      <c r="I142" s="29" t="s">
        <v>554</v>
      </c>
      <c r="J142" s="29"/>
      <c r="K142" s="29"/>
      <c r="L142" s="29">
        <v>-57.223262474956115</v>
      </c>
      <c r="M142" s="29">
        <v>-2.1315248792436538E-2</v>
      </c>
      <c r="N142" s="29">
        <v>-2.1161404885339165E-2</v>
      </c>
      <c r="O142" s="29">
        <v>-0.10735293074734278</v>
      </c>
      <c r="P142" s="29">
        <v>0</v>
      </c>
      <c r="Q142" s="29">
        <v>0</v>
      </c>
      <c r="R142" s="29">
        <v>0</v>
      </c>
      <c r="S142" s="29">
        <v>0</v>
      </c>
      <c r="T142" s="29">
        <v>0</v>
      </c>
      <c r="U142" s="29">
        <v>0</v>
      </c>
      <c r="V142" s="29" t="s">
        <v>345</v>
      </c>
      <c r="W142" s="29" t="s">
        <v>345</v>
      </c>
      <c r="X142" s="29" t="s">
        <v>345</v>
      </c>
      <c r="Y142" s="29" t="s">
        <v>345</v>
      </c>
      <c r="Z142" s="29">
        <v>0</v>
      </c>
      <c r="AA142" s="29">
        <v>0</v>
      </c>
      <c r="AB142" s="29">
        <v>0</v>
      </c>
      <c r="AC142" s="29">
        <v>0</v>
      </c>
      <c r="AD142" s="29">
        <v>0</v>
      </c>
      <c r="AE142" s="29">
        <v>0</v>
      </c>
      <c r="AF142" s="29">
        <v>0</v>
      </c>
      <c r="AG142" s="29">
        <v>0</v>
      </c>
      <c r="AH142" s="29">
        <v>0</v>
      </c>
      <c r="AI142" s="29">
        <v>0</v>
      </c>
      <c r="AJ142" s="29">
        <v>0</v>
      </c>
      <c r="AK142" s="29">
        <v>0</v>
      </c>
      <c r="AL142" s="29">
        <v>0</v>
      </c>
      <c r="AM142" s="29">
        <v>-29.804167481421111</v>
      </c>
      <c r="AN142" s="29">
        <v>-7.5317108675481634</v>
      </c>
      <c r="AO142" s="29">
        <v>0</v>
      </c>
      <c r="AP142" s="29">
        <v>0</v>
      </c>
      <c r="AQ142" s="29">
        <v>-37.335878348969274</v>
      </c>
      <c r="AR142" s="29">
        <v>0</v>
      </c>
      <c r="AS142" s="107">
        <v>0</v>
      </c>
      <c r="AT142" s="29">
        <v>-29.804167481421111</v>
      </c>
      <c r="AU142" s="29">
        <v>-8.915302347602335</v>
      </c>
      <c r="AV142" s="29">
        <v>0</v>
      </c>
      <c r="AW142" s="29">
        <v>0</v>
      </c>
      <c r="AX142" s="29">
        <v>-38.719469829023446</v>
      </c>
      <c r="AY142" s="29">
        <v>0</v>
      </c>
      <c r="AZ142" s="107">
        <v>0</v>
      </c>
      <c r="BA142" s="29">
        <v>-29.804167481421111</v>
      </c>
      <c r="BB142" s="29">
        <v>-16.447013215150498</v>
      </c>
      <c r="BC142" s="29">
        <v>0</v>
      </c>
      <c r="BD142" s="29">
        <v>0</v>
      </c>
      <c r="BE142" s="29">
        <v>-46.251180696571609</v>
      </c>
      <c r="BF142" s="29">
        <v>0</v>
      </c>
      <c r="BG142" s="29">
        <v>9999</v>
      </c>
      <c r="BH142" s="107">
        <v>0</v>
      </c>
      <c r="BI142" s="29">
        <v>9999</v>
      </c>
      <c r="BJ142" s="29">
        <v>9999</v>
      </c>
      <c r="BK142" s="29">
        <v>9999</v>
      </c>
      <c r="BL142" s="29">
        <v>9999</v>
      </c>
      <c r="BM142" s="29">
        <v>9999</v>
      </c>
      <c r="BN142" s="29">
        <v>-29.804167481421111</v>
      </c>
      <c r="BO142" s="29">
        <v>-0.83268313194325427</v>
      </c>
      <c r="BP142" s="29">
        <v>-16.447013215150498</v>
      </c>
      <c r="BQ142" s="29">
        <v>0</v>
      </c>
      <c r="BR142" s="29">
        <v>0</v>
      </c>
      <c r="BS142" s="29">
        <v>0</v>
      </c>
      <c r="BT142" s="29">
        <v>0</v>
      </c>
      <c r="BU142" s="29">
        <v>0</v>
      </c>
      <c r="BV142" s="29">
        <v>-7.2951504954938624</v>
      </c>
      <c r="BW142" s="29">
        <v>0</v>
      </c>
      <c r="BX142" s="29">
        <v>0</v>
      </c>
      <c r="BY142" s="29"/>
      <c r="BZ142" s="29">
        <v>0</v>
      </c>
      <c r="CA142" s="29">
        <v>0</v>
      </c>
      <c r="CB142" s="29">
        <v>-54.379014324008729</v>
      </c>
      <c r="CC142" s="29">
        <v>0</v>
      </c>
      <c r="CD142" s="107">
        <v>0</v>
      </c>
      <c r="CE142" s="29">
        <v>9999</v>
      </c>
      <c r="CF142" s="29">
        <v>-0.54362453730658955</v>
      </c>
      <c r="CG142" s="29">
        <v>-1.2560292897439106E-2</v>
      </c>
      <c r="CH142" s="29">
        <v>-0.55618483020402865</v>
      </c>
      <c r="CI142" s="29">
        <v>-2.7181049675604151E-2</v>
      </c>
      <c r="CJ142" s="29">
        <v>-6.2801464487195551E-4</v>
      </c>
      <c r="CK142" s="29">
        <v>-2.7809064320476105E-2</v>
      </c>
      <c r="CL142" s="29"/>
      <c r="CM142" s="29">
        <v>-0.10629003081412733</v>
      </c>
      <c r="CN142" s="29" t="s">
        <v>554</v>
      </c>
      <c r="CO142" s="29">
        <v>0</v>
      </c>
      <c r="CP142" s="29">
        <v>0</v>
      </c>
      <c r="CQ142" s="29">
        <v>-0.83268313194325427</v>
      </c>
      <c r="CR142" s="29">
        <v>0</v>
      </c>
      <c r="CS142" s="29">
        <v>0</v>
      </c>
      <c r="CT142" s="29">
        <v>-0.83268313194325427</v>
      </c>
      <c r="CU142" s="29">
        <v>0</v>
      </c>
      <c r="CV142" s="29">
        <v>9999</v>
      </c>
      <c r="CW142" s="107">
        <v>0</v>
      </c>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row>
    <row r="143" spans="1:131">
      <c r="A143" s="7" t="s">
        <v>482</v>
      </c>
      <c r="B143" s="7" t="s">
        <v>359</v>
      </c>
      <c r="C143" s="29">
        <v>13</v>
      </c>
      <c r="D143" s="29">
        <v>1.0000000000000001E-5</v>
      </c>
      <c r="E143" s="29">
        <v>0</v>
      </c>
      <c r="F143" s="29">
        <v>0</v>
      </c>
      <c r="G143" s="29">
        <v>0</v>
      </c>
      <c r="H143" s="29">
        <v>0</v>
      </c>
      <c r="I143" s="29" t="s">
        <v>552</v>
      </c>
      <c r="J143" s="29"/>
      <c r="K143" s="29"/>
      <c r="L143" s="29">
        <v>1.0717520953171996E-5</v>
      </c>
      <c r="M143" s="29">
        <v>0</v>
      </c>
      <c r="N143" s="29">
        <v>0</v>
      </c>
      <c r="O143" s="29">
        <v>0</v>
      </c>
      <c r="P143" s="29">
        <v>0</v>
      </c>
      <c r="Q143" s="29">
        <v>0</v>
      </c>
      <c r="R143" s="29">
        <v>0</v>
      </c>
      <c r="S143" s="29">
        <v>0</v>
      </c>
      <c r="T143" s="29">
        <v>0</v>
      </c>
      <c r="U143" s="29">
        <v>0</v>
      </c>
      <c r="V143" s="29" t="s">
        <v>345</v>
      </c>
      <c r="W143" s="29" t="s">
        <v>345</v>
      </c>
      <c r="X143" s="29" t="s">
        <v>345</v>
      </c>
      <c r="Y143" s="29" t="s">
        <v>345</v>
      </c>
      <c r="Z143" s="29">
        <v>0</v>
      </c>
      <c r="AA143" s="29">
        <v>0</v>
      </c>
      <c r="AB143" s="29">
        <v>0</v>
      </c>
      <c r="AC143" s="29">
        <v>0</v>
      </c>
      <c r="AD143" s="29">
        <v>0</v>
      </c>
      <c r="AE143" s="29">
        <v>0</v>
      </c>
      <c r="AF143" s="29">
        <v>0</v>
      </c>
      <c r="AG143" s="29">
        <v>0</v>
      </c>
      <c r="AH143" s="29">
        <v>0</v>
      </c>
      <c r="AI143" s="29">
        <v>0</v>
      </c>
      <c r="AJ143" s="29">
        <v>0</v>
      </c>
      <c r="AK143" s="29">
        <v>0</v>
      </c>
      <c r="AL143" s="29">
        <v>0</v>
      </c>
      <c r="AM143" s="29">
        <v>5.5800831647479789E-6</v>
      </c>
      <c r="AN143" s="29">
        <v>0</v>
      </c>
      <c r="AO143" s="29">
        <v>0</v>
      </c>
      <c r="AP143" s="29">
        <v>0</v>
      </c>
      <c r="AQ143" s="29">
        <v>5.5800831647479789E-6</v>
      </c>
      <c r="AR143" s="29">
        <v>0</v>
      </c>
      <c r="AS143" s="33">
        <v>9999</v>
      </c>
      <c r="AT143" s="29">
        <v>5.5800831647479789E-6</v>
      </c>
      <c r="AU143" s="29">
        <v>0</v>
      </c>
      <c r="AV143" s="29">
        <v>0</v>
      </c>
      <c r="AW143" s="29">
        <v>0</v>
      </c>
      <c r="AX143" s="29">
        <v>5.5800831647479789E-6</v>
      </c>
      <c r="AY143" s="29">
        <v>0</v>
      </c>
      <c r="AZ143" s="33">
        <v>9999</v>
      </c>
      <c r="BA143" s="29">
        <v>5.5800831647479789E-6</v>
      </c>
      <c r="BB143" s="29">
        <v>0</v>
      </c>
      <c r="BC143" s="29">
        <v>0</v>
      </c>
      <c r="BD143" s="29">
        <v>0</v>
      </c>
      <c r="BE143" s="29">
        <v>5.5800831647479789E-6</v>
      </c>
      <c r="BF143" s="29">
        <v>0</v>
      </c>
      <c r="BG143" s="29">
        <v>0</v>
      </c>
      <c r="BH143" s="33">
        <v>9999</v>
      </c>
      <c r="BI143" s="29">
        <v>0</v>
      </c>
      <c r="BJ143" s="29">
        <v>0</v>
      </c>
      <c r="BK143" s="29">
        <v>0</v>
      </c>
      <c r="BL143" s="29">
        <v>0</v>
      </c>
      <c r="BM143" s="29">
        <v>0</v>
      </c>
      <c r="BN143" s="29">
        <v>5.5800831647479789E-6</v>
      </c>
      <c r="BO143" s="29">
        <v>0</v>
      </c>
      <c r="BP143" s="29">
        <v>0</v>
      </c>
      <c r="BQ143" s="29">
        <v>0</v>
      </c>
      <c r="BR143" s="29">
        <v>0</v>
      </c>
      <c r="BS143" s="29">
        <v>0</v>
      </c>
      <c r="BT143" s="29">
        <v>0</v>
      </c>
      <c r="BU143" s="29">
        <v>0</v>
      </c>
      <c r="BV143" s="29">
        <v>-7.2951504954938624</v>
      </c>
      <c r="BW143" s="29">
        <v>0</v>
      </c>
      <c r="BX143" s="29">
        <v>0</v>
      </c>
      <c r="BY143" s="29"/>
      <c r="BZ143" s="29">
        <v>0</v>
      </c>
      <c r="CA143" s="29">
        <v>0</v>
      </c>
      <c r="CB143" s="29">
        <v>-7.295144915410698</v>
      </c>
      <c r="CC143" s="29">
        <v>0</v>
      </c>
      <c r="CD143" s="107">
        <v>7.6490309119664321E-7</v>
      </c>
      <c r="CE143" s="29">
        <v>50085271.091570109</v>
      </c>
      <c r="CF143" s="29">
        <v>1.018228403603893E-7</v>
      </c>
      <c r="CG143" s="29">
        <v>0</v>
      </c>
      <c r="CH143" s="29">
        <v>1.018228403603893E-7</v>
      </c>
      <c r="CI143" s="29">
        <v>5.090822452756698E-9</v>
      </c>
      <c r="CJ143" s="29">
        <v>0</v>
      </c>
      <c r="CK143" s="29">
        <v>5.090822452756698E-9</v>
      </c>
      <c r="CL143" s="29"/>
      <c r="CM143" s="29">
        <v>0</v>
      </c>
      <c r="CN143" s="29"/>
      <c r="CO143" s="29">
        <v>0</v>
      </c>
      <c r="CP143" s="29">
        <v>0</v>
      </c>
      <c r="CQ143" s="29">
        <v>0</v>
      </c>
      <c r="CR143" s="29">
        <v>0</v>
      </c>
      <c r="CS143" s="29">
        <v>0</v>
      </c>
      <c r="CT143" s="29">
        <v>0</v>
      </c>
      <c r="CU143" s="29">
        <v>0</v>
      </c>
      <c r="CV143" s="29">
        <v>9999</v>
      </c>
      <c r="CW143" s="33">
        <v>9999</v>
      </c>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row>
    <row r="144" spans="1:131">
      <c r="A144" s="7" t="s">
        <v>483</v>
      </c>
      <c r="B144" s="7" t="s">
        <v>356</v>
      </c>
      <c r="C144" s="29">
        <v>13</v>
      </c>
      <c r="D144" s="29">
        <v>939.9177593105162</v>
      </c>
      <c r="E144" s="29">
        <v>0</v>
      </c>
      <c r="F144" s="29">
        <v>724.5875237038573</v>
      </c>
      <c r="G144" s="29">
        <v>0</v>
      </c>
      <c r="H144" s="29">
        <v>0</v>
      </c>
      <c r="I144" s="29" t="s">
        <v>569</v>
      </c>
      <c r="J144" s="29"/>
      <c r="K144" s="29"/>
      <c r="L144" s="29">
        <v>1009.2424224716688</v>
      </c>
      <c r="M144" s="29">
        <v>0.22459115829642401</v>
      </c>
      <c r="N144" s="29">
        <v>0.22297016003230305</v>
      </c>
      <c r="O144" s="29">
        <v>0</v>
      </c>
      <c r="P144" s="29">
        <v>0</v>
      </c>
      <c r="Q144" s="29">
        <v>0</v>
      </c>
      <c r="R144" s="29">
        <v>144.49243163055851</v>
      </c>
      <c r="S144" s="29">
        <v>333.90003232343054</v>
      </c>
      <c r="T144" s="29">
        <v>0</v>
      </c>
      <c r="U144" s="29">
        <v>524.46844781047821</v>
      </c>
      <c r="V144" s="29" t="s">
        <v>345</v>
      </c>
      <c r="W144" s="29" t="s">
        <v>345</v>
      </c>
      <c r="X144" s="29" t="s">
        <v>345</v>
      </c>
      <c r="Y144" s="29" t="s">
        <v>345</v>
      </c>
      <c r="Z144" s="29">
        <v>0</v>
      </c>
      <c r="AA144" s="29">
        <v>0</v>
      </c>
      <c r="AB144" s="29">
        <v>0</v>
      </c>
      <c r="AC144" s="29">
        <v>0</v>
      </c>
      <c r="AD144" s="29">
        <v>0</v>
      </c>
      <c r="AE144" s="29">
        <v>0</v>
      </c>
      <c r="AF144" s="29">
        <v>0</v>
      </c>
      <c r="AG144" s="29">
        <v>0</v>
      </c>
      <c r="AH144" s="29">
        <v>144.49243163055851</v>
      </c>
      <c r="AI144" s="29">
        <v>333.90003232343054</v>
      </c>
      <c r="AJ144" s="29">
        <v>0</v>
      </c>
      <c r="AK144" s="29">
        <v>524.46844781047821</v>
      </c>
      <c r="AL144" s="29">
        <v>1002.8609117644672</v>
      </c>
      <c r="AM144" s="29">
        <v>518.38024844418305</v>
      </c>
      <c r="AN144" s="29">
        <v>79.358945521510165</v>
      </c>
      <c r="AO144" s="29">
        <v>0</v>
      </c>
      <c r="AP144" s="29">
        <v>0</v>
      </c>
      <c r="AQ144" s="29">
        <v>597.73919396569318</v>
      </c>
      <c r="AR144" s="29">
        <v>144.49243163055851</v>
      </c>
      <c r="AS144" s="33">
        <v>4.1368200896086114</v>
      </c>
      <c r="AT144" s="29">
        <v>518.38024844418305</v>
      </c>
      <c r="AU144" s="29">
        <v>93.937354440888726</v>
      </c>
      <c r="AV144" s="29">
        <v>0</v>
      </c>
      <c r="AW144" s="29">
        <v>0</v>
      </c>
      <c r="AX144" s="29">
        <v>612.31760288507178</v>
      </c>
      <c r="AY144" s="29">
        <v>333.90003232343054</v>
      </c>
      <c r="AZ144" s="33">
        <v>1.8338351111387539</v>
      </c>
      <c r="BA144" s="29">
        <v>518.38024844418305</v>
      </c>
      <c r="BB144" s="29">
        <v>173.2962999623989</v>
      </c>
      <c r="BC144" s="29">
        <v>0</v>
      </c>
      <c r="BD144" s="29">
        <v>0</v>
      </c>
      <c r="BE144" s="29">
        <v>691.6765484065819</v>
      </c>
      <c r="BF144" s="29">
        <v>478.39246395398902</v>
      </c>
      <c r="BG144" s="29">
        <v>22.243922040129842</v>
      </c>
      <c r="BH144" s="33">
        <v>1.4458349587904591</v>
      </c>
      <c r="BI144" s="29">
        <v>10.534640431164286</v>
      </c>
      <c r="BJ144" s="29">
        <v>24.343951726656098</v>
      </c>
      <c r="BK144" s="29">
        <v>0</v>
      </c>
      <c r="BL144" s="29">
        <v>38.237895596503655</v>
      </c>
      <c r="BM144" s="29">
        <v>73.116487754324041</v>
      </c>
      <c r="BN144" s="29">
        <v>518.38024844418305</v>
      </c>
      <c r="BO144" s="29">
        <v>0</v>
      </c>
      <c r="BP144" s="29">
        <v>173.2962999623989</v>
      </c>
      <c r="BQ144" s="29">
        <v>0</v>
      </c>
      <c r="BR144" s="29">
        <v>0</v>
      </c>
      <c r="BS144" s="29">
        <v>0</v>
      </c>
      <c r="BT144" s="29">
        <v>0</v>
      </c>
      <c r="BU144" s="29">
        <v>0</v>
      </c>
      <c r="BV144" s="29">
        <v>0</v>
      </c>
      <c r="BW144" s="29">
        <v>0</v>
      </c>
      <c r="BX144" s="29">
        <v>1002.8609117644672</v>
      </c>
      <c r="BY144" s="29"/>
      <c r="BZ144" s="29">
        <v>0</v>
      </c>
      <c r="CA144" s="29">
        <v>0</v>
      </c>
      <c r="CB144" s="29">
        <v>691.6765484065819</v>
      </c>
      <c r="CC144" s="29">
        <v>1002.8609117644672</v>
      </c>
      <c r="CD144" s="107">
        <v>0.68970336792728604</v>
      </c>
      <c r="CE144" s="29">
        <v>60.481817636633508</v>
      </c>
      <c r="CF144" s="29">
        <v>9.5879178453989624</v>
      </c>
      <c r="CG144" s="29">
        <v>0</v>
      </c>
      <c r="CH144" s="29">
        <v>9.5879178453989624</v>
      </c>
      <c r="CI144" s="29">
        <v>0.47939015067404245</v>
      </c>
      <c r="CJ144" s="29">
        <v>0</v>
      </c>
      <c r="CK144" s="29">
        <v>0.47939015067404245</v>
      </c>
      <c r="CL144" s="29"/>
      <c r="CM144" s="29">
        <v>0</v>
      </c>
      <c r="CN144" s="29"/>
      <c r="CO144" s="29">
        <v>0</v>
      </c>
      <c r="CP144" s="29">
        <v>0</v>
      </c>
      <c r="CQ144" s="29">
        <v>0</v>
      </c>
      <c r="CR144" s="29">
        <v>0</v>
      </c>
      <c r="CS144" s="29">
        <v>0</v>
      </c>
      <c r="CT144" s="29">
        <v>0</v>
      </c>
      <c r="CU144" s="29">
        <v>0</v>
      </c>
      <c r="CV144" s="29">
        <v>9999</v>
      </c>
      <c r="CW144" s="33">
        <v>9999</v>
      </c>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row>
    <row r="145" spans="1:131">
      <c r="A145" s="7" t="s">
        <v>483</v>
      </c>
      <c r="B145" s="7" t="s">
        <v>357</v>
      </c>
      <c r="C145" s="29">
        <v>13</v>
      </c>
      <c r="D145" s="29">
        <v>1.0000000000000001E-5</v>
      </c>
      <c r="E145" s="29">
        <v>0</v>
      </c>
      <c r="F145" s="29">
        <v>0</v>
      </c>
      <c r="G145" s="29">
        <v>0</v>
      </c>
      <c r="H145" s="29">
        <v>0</v>
      </c>
      <c r="I145" s="29" t="s">
        <v>551</v>
      </c>
      <c r="J145" s="29"/>
      <c r="K145" s="29"/>
      <c r="L145" s="29">
        <v>1.0783807742739335E-5</v>
      </c>
      <c r="M145" s="29">
        <v>5.6390564814433171E-9</v>
      </c>
      <c r="N145" s="29">
        <v>5.5983563005589244E-9</v>
      </c>
      <c r="O145" s="29">
        <v>0</v>
      </c>
      <c r="P145" s="29">
        <v>0</v>
      </c>
      <c r="Q145" s="29">
        <v>0</v>
      </c>
      <c r="R145" s="29">
        <v>0</v>
      </c>
      <c r="S145" s="29">
        <v>0</v>
      </c>
      <c r="T145" s="29">
        <v>0</v>
      </c>
      <c r="U145" s="29">
        <v>0</v>
      </c>
      <c r="V145" s="29" t="s">
        <v>345</v>
      </c>
      <c r="W145" s="29" t="s">
        <v>345</v>
      </c>
      <c r="X145" s="29" t="s">
        <v>345</v>
      </c>
      <c r="Y145" s="29" t="s">
        <v>345</v>
      </c>
      <c r="Z145" s="29">
        <v>0</v>
      </c>
      <c r="AA145" s="29">
        <v>0</v>
      </c>
      <c r="AB145" s="29">
        <v>0</v>
      </c>
      <c r="AC145" s="29">
        <v>0</v>
      </c>
      <c r="AD145" s="29">
        <v>0</v>
      </c>
      <c r="AE145" s="29">
        <v>0</v>
      </c>
      <c r="AF145" s="29">
        <v>0</v>
      </c>
      <c r="AG145" s="29">
        <v>0</v>
      </c>
      <c r="AH145" s="29">
        <v>0</v>
      </c>
      <c r="AI145" s="29">
        <v>0</v>
      </c>
      <c r="AJ145" s="29">
        <v>0</v>
      </c>
      <c r="AK145" s="29">
        <v>0</v>
      </c>
      <c r="AL145" s="29">
        <v>0</v>
      </c>
      <c r="AM145" s="29">
        <v>5.6801225748169201E-6</v>
      </c>
      <c r="AN145" s="29">
        <v>1.9925520643735169E-6</v>
      </c>
      <c r="AO145" s="29">
        <v>0</v>
      </c>
      <c r="AP145" s="29">
        <v>0</v>
      </c>
      <c r="AQ145" s="29">
        <v>7.6726746391904361E-6</v>
      </c>
      <c r="AR145" s="29">
        <v>0</v>
      </c>
      <c r="AS145" s="33">
        <v>9999</v>
      </c>
      <c r="AT145" s="29">
        <v>5.6801225748169201E-6</v>
      </c>
      <c r="AU145" s="29">
        <v>2.3585881627200549E-6</v>
      </c>
      <c r="AV145" s="29">
        <v>0</v>
      </c>
      <c r="AW145" s="29">
        <v>0</v>
      </c>
      <c r="AX145" s="29">
        <v>8.0387107375369749E-6</v>
      </c>
      <c r="AY145" s="29">
        <v>0</v>
      </c>
      <c r="AZ145" s="33">
        <v>9999</v>
      </c>
      <c r="BA145" s="29">
        <v>5.6801225748169201E-6</v>
      </c>
      <c r="BB145" s="29">
        <v>4.3511402270935718E-6</v>
      </c>
      <c r="BC145" s="29">
        <v>0</v>
      </c>
      <c r="BD145" s="29">
        <v>0</v>
      </c>
      <c r="BE145" s="29">
        <v>1.0031262801910492E-5</v>
      </c>
      <c r="BF145" s="29">
        <v>0</v>
      </c>
      <c r="BG145" s="29">
        <v>-29.689375169954904</v>
      </c>
      <c r="BH145" s="33">
        <v>9999</v>
      </c>
      <c r="BI145" s="29">
        <v>0</v>
      </c>
      <c r="BJ145" s="29">
        <v>0</v>
      </c>
      <c r="BK145" s="29">
        <v>0</v>
      </c>
      <c r="BL145" s="29">
        <v>0</v>
      </c>
      <c r="BM145" s="29">
        <v>0</v>
      </c>
      <c r="BN145" s="29">
        <v>5.6801225748169201E-6</v>
      </c>
      <c r="BO145" s="29">
        <v>0</v>
      </c>
      <c r="BP145" s="29">
        <v>4.3511402270935718E-6</v>
      </c>
      <c r="BQ145" s="29">
        <v>0</v>
      </c>
      <c r="BR145" s="29">
        <v>0</v>
      </c>
      <c r="BS145" s="29">
        <v>0</v>
      </c>
      <c r="BT145" s="29">
        <v>0</v>
      </c>
      <c r="BU145" s="29">
        <v>0</v>
      </c>
      <c r="BV145" s="29">
        <v>0</v>
      </c>
      <c r="BW145" s="29">
        <v>0</v>
      </c>
      <c r="BX145" s="29">
        <v>0</v>
      </c>
      <c r="BY145" s="29"/>
      <c r="BZ145" s="29">
        <v>0</v>
      </c>
      <c r="CA145" s="29">
        <v>0</v>
      </c>
      <c r="CB145" s="29">
        <v>1.0031262801910492E-5</v>
      </c>
      <c r="CC145" s="29">
        <v>0</v>
      </c>
      <c r="CD145" s="33">
        <v>9999</v>
      </c>
      <c r="CE145" s="29">
        <v>-29.689375169954904</v>
      </c>
      <c r="CF145" s="29">
        <v>1.0244682707561345E-7</v>
      </c>
      <c r="CG145" s="29">
        <v>0</v>
      </c>
      <c r="CH145" s="29">
        <v>1.0244682707561345E-7</v>
      </c>
      <c r="CI145" s="29">
        <v>5.1223086778011841E-9</v>
      </c>
      <c r="CJ145" s="29">
        <v>0</v>
      </c>
      <c r="CK145" s="29">
        <v>5.1223086778011841E-9</v>
      </c>
      <c r="CL145" s="29"/>
      <c r="CM145" s="29">
        <v>0</v>
      </c>
      <c r="CN145" s="29"/>
      <c r="CO145" s="29">
        <v>0</v>
      </c>
      <c r="CP145" s="29">
        <v>0</v>
      </c>
      <c r="CQ145" s="29">
        <v>0</v>
      </c>
      <c r="CR145" s="29">
        <v>0</v>
      </c>
      <c r="CS145" s="29">
        <v>0</v>
      </c>
      <c r="CT145" s="29">
        <v>0</v>
      </c>
      <c r="CU145" s="29">
        <v>0</v>
      </c>
      <c r="CV145" s="29">
        <v>9999</v>
      </c>
      <c r="CW145" s="33">
        <v>9999</v>
      </c>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row>
    <row r="146" spans="1:131">
      <c r="A146" s="7" t="s">
        <v>483</v>
      </c>
      <c r="B146" s="7" t="s">
        <v>359</v>
      </c>
      <c r="C146" s="29">
        <v>13</v>
      </c>
      <c r="D146" s="29">
        <v>1.0000000000000001E-5</v>
      </c>
      <c r="E146" s="29">
        <v>0</v>
      </c>
      <c r="F146" s="29">
        <v>0</v>
      </c>
      <c r="G146" s="29">
        <v>0</v>
      </c>
      <c r="H146" s="29">
        <v>0</v>
      </c>
      <c r="I146" s="29" t="s">
        <v>552</v>
      </c>
      <c r="J146" s="29"/>
      <c r="K146" s="29"/>
      <c r="L146" s="29">
        <v>1.0717520953171996E-5</v>
      </c>
      <c r="M146" s="29">
        <v>0</v>
      </c>
      <c r="N146" s="29">
        <v>0</v>
      </c>
      <c r="O146" s="29">
        <v>0</v>
      </c>
      <c r="P146" s="29">
        <v>0</v>
      </c>
      <c r="Q146" s="29">
        <v>0</v>
      </c>
      <c r="R146" s="29">
        <v>0</v>
      </c>
      <c r="S146" s="29">
        <v>0</v>
      </c>
      <c r="T146" s="29">
        <v>0</v>
      </c>
      <c r="U146" s="29">
        <v>0</v>
      </c>
      <c r="V146" s="29" t="s">
        <v>345</v>
      </c>
      <c r="W146" s="29" t="s">
        <v>345</v>
      </c>
      <c r="X146" s="29" t="s">
        <v>345</v>
      </c>
      <c r="Y146" s="29" t="s">
        <v>345</v>
      </c>
      <c r="Z146" s="29">
        <v>0</v>
      </c>
      <c r="AA146" s="29">
        <v>0</v>
      </c>
      <c r="AB146" s="29">
        <v>0</v>
      </c>
      <c r="AC146" s="29">
        <v>0</v>
      </c>
      <c r="AD146" s="29">
        <v>0</v>
      </c>
      <c r="AE146" s="29">
        <v>0</v>
      </c>
      <c r="AF146" s="29">
        <v>0</v>
      </c>
      <c r="AG146" s="29">
        <v>0</v>
      </c>
      <c r="AH146" s="29">
        <v>0</v>
      </c>
      <c r="AI146" s="29">
        <v>0</v>
      </c>
      <c r="AJ146" s="29">
        <v>0</v>
      </c>
      <c r="AK146" s="29">
        <v>0</v>
      </c>
      <c r="AL146" s="29">
        <v>0</v>
      </c>
      <c r="AM146" s="29">
        <v>5.5800831647479789E-6</v>
      </c>
      <c r="AN146" s="29">
        <v>0</v>
      </c>
      <c r="AO146" s="29">
        <v>0</v>
      </c>
      <c r="AP146" s="29">
        <v>0</v>
      </c>
      <c r="AQ146" s="29">
        <v>5.5800831647479789E-6</v>
      </c>
      <c r="AR146" s="29">
        <v>0</v>
      </c>
      <c r="AS146" s="33">
        <v>9999</v>
      </c>
      <c r="AT146" s="29">
        <v>5.5800831647479789E-6</v>
      </c>
      <c r="AU146" s="29">
        <v>0</v>
      </c>
      <c r="AV146" s="29">
        <v>0</v>
      </c>
      <c r="AW146" s="29">
        <v>0</v>
      </c>
      <c r="AX146" s="29">
        <v>5.5800831647479789E-6</v>
      </c>
      <c r="AY146" s="29">
        <v>0</v>
      </c>
      <c r="AZ146" s="33">
        <v>9999</v>
      </c>
      <c r="BA146" s="29">
        <v>5.5800831647479789E-6</v>
      </c>
      <c r="BB146" s="29">
        <v>0</v>
      </c>
      <c r="BC146" s="29">
        <v>0</v>
      </c>
      <c r="BD146" s="29">
        <v>0</v>
      </c>
      <c r="BE146" s="29">
        <v>5.5800831647479789E-6</v>
      </c>
      <c r="BF146" s="29">
        <v>0</v>
      </c>
      <c r="BG146" s="29">
        <v>0</v>
      </c>
      <c r="BH146" s="33">
        <v>9999</v>
      </c>
      <c r="BI146" s="29">
        <v>0</v>
      </c>
      <c r="BJ146" s="29">
        <v>0</v>
      </c>
      <c r="BK146" s="29">
        <v>0</v>
      </c>
      <c r="BL146" s="29">
        <v>0</v>
      </c>
      <c r="BM146" s="29">
        <v>0</v>
      </c>
      <c r="BN146" s="29">
        <v>5.5800831647479789E-6</v>
      </c>
      <c r="BO146" s="29">
        <v>0</v>
      </c>
      <c r="BP146" s="29">
        <v>0</v>
      </c>
      <c r="BQ146" s="29">
        <v>0</v>
      </c>
      <c r="BR146" s="29">
        <v>0</v>
      </c>
      <c r="BS146" s="29">
        <v>0</v>
      </c>
      <c r="BT146" s="29">
        <v>0</v>
      </c>
      <c r="BU146" s="29">
        <v>0</v>
      </c>
      <c r="BV146" s="29">
        <v>0</v>
      </c>
      <c r="BW146" s="29">
        <v>0</v>
      </c>
      <c r="BX146" s="29">
        <v>0</v>
      </c>
      <c r="BY146" s="29"/>
      <c r="BZ146" s="29">
        <v>0</v>
      </c>
      <c r="CA146" s="29">
        <v>0</v>
      </c>
      <c r="CB146" s="29">
        <v>5.5800831647479789E-6</v>
      </c>
      <c r="CC146" s="29">
        <v>0</v>
      </c>
      <c r="CD146" s="33">
        <v>9999</v>
      </c>
      <c r="CE146" s="29">
        <v>0</v>
      </c>
      <c r="CF146" s="29">
        <v>1.018228403603893E-7</v>
      </c>
      <c r="CG146" s="29">
        <v>0</v>
      </c>
      <c r="CH146" s="29">
        <v>1.018228403603893E-7</v>
      </c>
      <c r="CI146" s="29">
        <v>5.090822452756698E-9</v>
      </c>
      <c r="CJ146" s="29">
        <v>0</v>
      </c>
      <c r="CK146" s="29">
        <v>5.090822452756698E-9</v>
      </c>
      <c r="CL146" s="29"/>
      <c r="CM146" s="29">
        <v>0</v>
      </c>
      <c r="CN146" s="29"/>
      <c r="CO146" s="29">
        <v>0</v>
      </c>
      <c r="CP146" s="29">
        <v>0</v>
      </c>
      <c r="CQ146" s="29">
        <v>0</v>
      </c>
      <c r="CR146" s="29">
        <v>0</v>
      </c>
      <c r="CS146" s="29">
        <v>0</v>
      </c>
      <c r="CT146" s="29">
        <v>0</v>
      </c>
      <c r="CU146" s="29">
        <v>0</v>
      </c>
      <c r="CV146" s="29">
        <v>9999</v>
      </c>
      <c r="CW146" s="33">
        <v>9999</v>
      </c>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row>
    <row r="147" spans="1:131">
      <c r="A147" s="7" t="s">
        <v>484</v>
      </c>
      <c r="B147" s="7" t="s">
        <v>356</v>
      </c>
      <c r="C147" s="29">
        <v>13</v>
      </c>
      <c r="D147" s="29">
        <v>1271.3874301974433</v>
      </c>
      <c r="E147" s="29">
        <v>0</v>
      </c>
      <c r="F147" s="29">
        <v>724.5875237038573</v>
      </c>
      <c r="G147" s="29">
        <v>0</v>
      </c>
      <c r="H147" s="29">
        <v>0</v>
      </c>
      <c r="I147" s="29" t="s">
        <v>569</v>
      </c>
      <c r="J147" s="29"/>
      <c r="K147" s="29"/>
      <c r="L147" s="29">
        <v>1365.1600017577634</v>
      </c>
      <c r="M147" s="29">
        <v>0.30379506373091564</v>
      </c>
      <c r="N147" s="29">
        <v>0.3016024071958513</v>
      </c>
      <c r="O147" s="29">
        <v>0</v>
      </c>
      <c r="P147" s="29">
        <v>0</v>
      </c>
      <c r="Q147" s="29">
        <v>0</v>
      </c>
      <c r="R147" s="29">
        <v>144.49243163055851</v>
      </c>
      <c r="S147" s="29">
        <v>333.90003232343054</v>
      </c>
      <c r="T147" s="29">
        <v>0</v>
      </c>
      <c r="U147" s="29">
        <v>524.46844781047821</v>
      </c>
      <c r="V147" s="29" t="s">
        <v>345</v>
      </c>
      <c r="W147" s="29" t="s">
        <v>345</v>
      </c>
      <c r="X147" s="29" t="s">
        <v>345</v>
      </c>
      <c r="Y147" s="29" t="s">
        <v>345</v>
      </c>
      <c r="Z147" s="29">
        <v>0</v>
      </c>
      <c r="AA147" s="29">
        <v>0</v>
      </c>
      <c r="AB147" s="29">
        <v>0</v>
      </c>
      <c r="AC147" s="29">
        <v>0</v>
      </c>
      <c r="AD147" s="29">
        <v>0</v>
      </c>
      <c r="AE147" s="29">
        <v>0</v>
      </c>
      <c r="AF147" s="29">
        <v>0</v>
      </c>
      <c r="AG147" s="29">
        <v>0</v>
      </c>
      <c r="AH147" s="29">
        <v>144.49243163055851</v>
      </c>
      <c r="AI147" s="29">
        <v>333.90003232343054</v>
      </c>
      <c r="AJ147" s="29">
        <v>0</v>
      </c>
      <c r="AK147" s="29">
        <v>524.46844781047821</v>
      </c>
      <c r="AL147" s="29">
        <v>1002.8609117644672</v>
      </c>
      <c r="AM147" s="29">
        <v>701.1912748813487</v>
      </c>
      <c r="AN147" s="29">
        <v>107.34552551042837</v>
      </c>
      <c r="AO147" s="29">
        <v>0</v>
      </c>
      <c r="AP147" s="29">
        <v>0</v>
      </c>
      <c r="AQ147" s="29">
        <v>808.53680039177709</v>
      </c>
      <c r="AR147" s="29">
        <v>144.49243163055851</v>
      </c>
      <c r="AS147" s="33">
        <v>5.5957034653487048</v>
      </c>
      <c r="AT147" s="29">
        <v>701.1912748813487</v>
      </c>
      <c r="AU147" s="29">
        <v>127.06512934680291</v>
      </c>
      <c r="AV147" s="29">
        <v>0</v>
      </c>
      <c r="AW147" s="29">
        <v>0</v>
      </c>
      <c r="AX147" s="29">
        <v>828.25640422815161</v>
      </c>
      <c r="AY147" s="29">
        <v>333.90003232343054</v>
      </c>
      <c r="AZ147" s="33">
        <v>2.4805520336873323</v>
      </c>
      <c r="BA147" s="29">
        <v>701.1912748813487</v>
      </c>
      <c r="BB147" s="29">
        <v>234.41065485723129</v>
      </c>
      <c r="BC147" s="29">
        <v>0</v>
      </c>
      <c r="BD147" s="29">
        <v>0</v>
      </c>
      <c r="BE147" s="29">
        <v>935.60192973858</v>
      </c>
      <c r="BF147" s="29">
        <v>478.39246395398902</v>
      </c>
      <c r="BG147" s="29">
        <v>13.150552710722005</v>
      </c>
      <c r="BH147" s="33">
        <v>1.9557204601545826</v>
      </c>
      <c r="BI147" s="29">
        <v>7.7881025044145646</v>
      </c>
      <c r="BJ147" s="29">
        <v>17.997120323997983</v>
      </c>
      <c r="BK147" s="29">
        <v>0</v>
      </c>
      <c r="BL147" s="29">
        <v>28.268705743168869</v>
      </c>
      <c r="BM147" s="29">
        <v>54.053928571581423</v>
      </c>
      <c r="BN147" s="29">
        <v>701.1912748813487</v>
      </c>
      <c r="BO147" s="29">
        <v>0</v>
      </c>
      <c r="BP147" s="29">
        <v>234.41065485723129</v>
      </c>
      <c r="BQ147" s="29">
        <v>0</v>
      </c>
      <c r="BR147" s="29">
        <v>0</v>
      </c>
      <c r="BS147" s="29">
        <v>0</v>
      </c>
      <c r="BT147" s="29">
        <v>0</v>
      </c>
      <c r="BU147" s="29">
        <v>0</v>
      </c>
      <c r="BV147" s="29">
        <v>-66.160852192781277</v>
      </c>
      <c r="BW147" s="29">
        <v>0</v>
      </c>
      <c r="BX147" s="29">
        <v>1002.8609117644672</v>
      </c>
      <c r="BY147" s="29"/>
      <c r="BZ147" s="29">
        <v>0</v>
      </c>
      <c r="CA147" s="29">
        <v>0</v>
      </c>
      <c r="CB147" s="29">
        <v>869.44107754579875</v>
      </c>
      <c r="CC147" s="29">
        <v>1002.8609117644672</v>
      </c>
      <c r="CD147" s="107">
        <v>0.87519446402589407</v>
      </c>
      <c r="CE147" s="29">
        <v>44.985310272952582</v>
      </c>
      <c r="CF147" s="29">
        <v>12.969175345030212</v>
      </c>
      <c r="CG147" s="29">
        <v>0</v>
      </c>
      <c r="CH147" s="29">
        <v>12.969175345030212</v>
      </c>
      <c r="CI147" s="29">
        <v>0.64845100083493745</v>
      </c>
      <c r="CJ147" s="29">
        <v>0</v>
      </c>
      <c r="CK147" s="29">
        <v>0.64845100083493745</v>
      </c>
      <c r="CL147" s="29"/>
      <c r="CM147" s="29">
        <v>0</v>
      </c>
      <c r="CN147" s="29"/>
      <c r="CO147" s="29">
        <v>0</v>
      </c>
      <c r="CP147" s="29">
        <v>0</v>
      </c>
      <c r="CQ147" s="29">
        <v>0</v>
      </c>
      <c r="CR147" s="29">
        <v>0</v>
      </c>
      <c r="CS147" s="29">
        <v>0</v>
      </c>
      <c r="CT147" s="29">
        <v>0</v>
      </c>
      <c r="CU147" s="29">
        <v>0</v>
      </c>
      <c r="CV147" s="29">
        <v>9999</v>
      </c>
      <c r="CW147" s="33">
        <v>9999</v>
      </c>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row>
    <row r="148" spans="1:131">
      <c r="A148" s="7" t="s">
        <v>484</v>
      </c>
      <c r="B148" s="7" t="s">
        <v>357</v>
      </c>
      <c r="C148" s="29">
        <v>13</v>
      </c>
      <c r="D148" s="29">
        <v>-12.894946349935299</v>
      </c>
      <c r="E148" s="29">
        <v>-18.818740530000344</v>
      </c>
      <c r="F148" s="29">
        <v>0</v>
      </c>
      <c r="G148" s="29">
        <v>0</v>
      </c>
      <c r="H148" s="29">
        <v>0</v>
      </c>
      <c r="I148" s="29" t="s">
        <v>551</v>
      </c>
      <c r="J148" s="29"/>
      <c r="K148" s="29"/>
      <c r="L148" s="29">
        <v>-13.905662229064058</v>
      </c>
      <c r="M148" s="29">
        <v>-7.2715330792466493E-3</v>
      </c>
      <c r="N148" s="29">
        <v>-7.2190504143529585E-3</v>
      </c>
      <c r="O148" s="29">
        <v>-19.006927975128907</v>
      </c>
      <c r="P148" s="29">
        <v>0</v>
      </c>
      <c r="Q148" s="29">
        <v>0</v>
      </c>
      <c r="R148" s="29">
        <v>0</v>
      </c>
      <c r="S148" s="29">
        <v>0</v>
      </c>
      <c r="T148" s="29">
        <v>0</v>
      </c>
      <c r="U148" s="29">
        <v>0</v>
      </c>
      <c r="V148" s="29" t="s">
        <v>345</v>
      </c>
      <c r="W148" s="29" t="s">
        <v>345</v>
      </c>
      <c r="X148" s="29" t="s">
        <v>345</v>
      </c>
      <c r="Y148" s="29" t="s">
        <v>345</v>
      </c>
      <c r="Z148" s="29">
        <v>0</v>
      </c>
      <c r="AA148" s="29">
        <v>0</v>
      </c>
      <c r="AB148" s="29">
        <v>0</v>
      </c>
      <c r="AC148" s="29">
        <v>0</v>
      </c>
      <c r="AD148" s="29">
        <v>0</v>
      </c>
      <c r="AE148" s="29">
        <v>0</v>
      </c>
      <c r="AF148" s="29">
        <v>0</v>
      </c>
      <c r="AG148" s="29">
        <v>0</v>
      </c>
      <c r="AH148" s="29">
        <v>0</v>
      </c>
      <c r="AI148" s="29">
        <v>0</v>
      </c>
      <c r="AJ148" s="29">
        <v>0</v>
      </c>
      <c r="AK148" s="29">
        <v>0</v>
      </c>
      <c r="AL148" s="29">
        <v>0</v>
      </c>
      <c r="AM148" s="29">
        <v>-7.3244875863320464</v>
      </c>
      <c r="AN148" s="29">
        <v>-2.5693851969549333</v>
      </c>
      <c r="AO148" s="29">
        <v>0</v>
      </c>
      <c r="AP148" s="29">
        <v>0</v>
      </c>
      <c r="AQ148" s="29">
        <v>-9.8938727832869802</v>
      </c>
      <c r="AR148" s="29">
        <v>0</v>
      </c>
      <c r="AS148" s="107">
        <v>0</v>
      </c>
      <c r="AT148" s="29">
        <v>-7.3244875863320464</v>
      </c>
      <c r="AU148" s="29">
        <v>-3.0413867819867577</v>
      </c>
      <c r="AV148" s="29">
        <v>0</v>
      </c>
      <c r="AW148" s="29">
        <v>0</v>
      </c>
      <c r="AX148" s="29">
        <v>-10.365874368318805</v>
      </c>
      <c r="AY148" s="29">
        <v>0</v>
      </c>
      <c r="AZ148" s="107">
        <v>0</v>
      </c>
      <c r="BA148" s="29">
        <v>-7.3244875863320464</v>
      </c>
      <c r="BB148" s="29">
        <v>-5.610771978941691</v>
      </c>
      <c r="BC148" s="29">
        <v>0</v>
      </c>
      <c r="BD148" s="29">
        <v>0</v>
      </c>
      <c r="BE148" s="29">
        <v>-12.935259565273737</v>
      </c>
      <c r="BF148" s="29">
        <v>0</v>
      </c>
      <c r="BG148" s="29">
        <v>9999</v>
      </c>
      <c r="BH148" s="107">
        <v>0</v>
      </c>
      <c r="BI148" s="29">
        <v>9999</v>
      </c>
      <c r="BJ148" s="29">
        <v>9999</v>
      </c>
      <c r="BK148" s="29">
        <v>9999</v>
      </c>
      <c r="BL148" s="29">
        <v>9999</v>
      </c>
      <c r="BM148" s="29">
        <v>9999</v>
      </c>
      <c r="BN148" s="29">
        <v>-7.3244875863320464</v>
      </c>
      <c r="BO148" s="29">
        <v>-147.48745958130988</v>
      </c>
      <c r="BP148" s="29">
        <v>-5.610771978941691</v>
      </c>
      <c r="BQ148" s="29">
        <v>0</v>
      </c>
      <c r="BR148" s="29">
        <v>0</v>
      </c>
      <c r="BS148" s="29">
        <v>0</v>
      </c>
      <c r="BT148" s="29">
        <v>0</v>
      </c>
      <c r="BU148" s="29">
        <v>0</v>
      </c>
      <c r="BV148" s="29">
        <v>-66.160852192781277</v>
      </c>
      <c r="BW148" s="29">
        <v>0</v>
      </c>
      <c r="BX148" s="29">
        <v>0</v>
      </c>
      <c r="BY148" s="29"/>
      <c r="BZ148" s="29">
        <v>0</v>
      </c>
      <c r="CA148" s="29">
        <v>0</v>
      </c>
      <c r="CB148" s="29">
        <v>-226.58357133936488</v>
      </c>
      <c r="CC148" s="29">
        <v>0</v>
      </c>
      <c r="CD148" s="107">
        <v>0</v>
      </c>
      <c r="CE148" s="29">
        <v>9999</v>
      </c>
      <c r="CF148" s="29">
        <v>-0.1321046338861136</v>
      </c>
      <c r="CG148" s="29">
        <v>-2.223810573090081</v>
      </c>
      <c r="CH148" s="29">
        <v>-2.3559152069761948</v>
      </c>
      <c r="CI148" s="29">
        <v>-6.6051895588054282E-3</v>
      </c>
      <c r="CJ148" s="29">
        <v>-0.11119052865450406</v>
      </c>
      <c r="CK148" s="29">
        <v>-0.11779571821330949</v>
      </c>
      <c r="CL148" s="29"/>
      <c r="CM148" s="29">
        <v>-18.818740530000344</v>
      </c>
      <c r="CN148" s="29" t="s">
        <v>551</v>
      </c>
      <c r="CO148" s="29">
        <v>0</v>
      </c>
      <c r="CP148" s="29">
        <v>0</v>
      </c>
      <c r="CQ148" s="29">
        <v>-147.48745958130988</v>
      </c>
      <c r="CR148" s="29">
        <v>0</v>
      </c>
      <c r="CS148" s="29">
        <v>0</v>
      </c>
      <c r="CT148" s="29">
        <v>-147.48745958130988</v>
      </c>
      <c r="CU148" s="29">
        <v>0</v>
      </c>
      <c r="CV148" s="29">
        <v>9999</v>
      </c>
      <c r="CW148" s="107">
        <v>0</v>
      </c>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row>
    <row r="149" spans="1:131">
      <c r="A149" s="7" t="s">
        <v>484</v>
      </c>
      <c r="B149" s="7" t="s">
        <v>359</v>
      </c>
      <c r="C149" s="29">
        <v>13</v>
      </c>
      <c r="D149" s="29">
        <v>1.0000000000000001E-5</v>
      </c>
      <c r="E149" s="29">
        <v>0</v>
      </c>
      <c r="F149" s="29">
        <v>0</v>
      </c>
      <c r="G149" s="29">
        <v>0</v>
      </c>
      <c r="H149" s="29">
        <v>0</v>
      </c>
      <c r="I149" s="29" t="s">
        <v>552</v>
      </c>
      <c r="J149" s="29"/>
      <c r="K149" s="29"/>
      <c r="L149" s="29">
        <v>1.0717520953171996E-5</v>
      </c>
      <c r="M149" s="29">
        <v>0</v>
      </c>
      <c r="N149" s="29">
        <v>0</v>
      </c>
      <c r="O149" s="29">
        <v>0</v>
      </c>
      <c r="P149" s="29">
        <v>0</v>
      </c>
      <c r="Q149" s="29">
        <v>0</v>
      </c>
      <c r="R149" s="29">
        <v>0</v>
      </c>
      <c r="S149" s="29">
        <v>0</v>
      </c>
      <c r="T149" s="29">
        <v>0</v>
      </c>
      <c r="U149" s="29">
        <v>0</v>
      </c>
      <c r="V149" s="29" t="s">
        <v>345</v>
      </c>
      <c r="W149" s="29" t="s">
        <v>345</v>
      </c>
      <c r="X149" s="29" t="s">
        <v>345</v>
      </c>
      <c r="Y149" s="29" t="s">
        <v>345</v>
      </c>
      <c r="Z149" s="29">
        <v>0</v>
      </c>
      <c r="AA149" s="29">
        <v>0</v>
      </c>
      <c r="AB149" s="29">
        <v>0</v>
      </c>
      <c r="AC149" s="29">
        <v>0</v>
      </c>
      <c r="AD149" s="29">
        <v>0</v>
      </c>
      <c r="AE149" s="29">
        <v>0</v>
      </c>
      <c r="AF149" s="29">
        <v>0</v>
      </c>
      <c r="AG149" s="29">
        <v>0</v>
      </c>
      <c r="AH149" s="29">
        <v>0</v>
      </c>
      <c r="AI149" s="29">
        <v>0</v>
      </c>
      <c r="AJ149" s="29">
        <v>0</v>
      </c>
      <c r="AK149" s="29">
        <v>0</v>
      </c>
      <c r="AL149" s="29">
        <v>0</v>
      </c>
      <c r="AM149" s="29">
        <v>5.5800831647479789E-6</v>
      </c>
      <c r="AN149" s="29">
        <v>0</v>
      </c>
      <c r="AO149" s="29">
        <v>0</v>
      </c>
      <c r="AP149" s="29">
        <v>0</v>
      </c>
      <c r="AQ149" s="29">
        <v>5.5800831647479789E-6</v>
      </c>
      <c r="AR149" s="29">
        <v>0</v>
      </c>
      <c r="AS149" s="33">
        <v>9999</v>
      </c>
      <c r="AT149" s="29">
        <v>5.5800831647479789E-6</v>
      </c>
      <c r="AU149" s="29">
        <v>0</v>
      </c>
      <c r="AV149" s="29">
        <v>0</v>
      </c>
      <c r="AW149" s="29">
        <v>0</v>
      </c>
      <c r="AX149" s="29">
        <v>5.5800831647479789E-6</v>
      </c>
      <c r="AY149" s="29">
        <v>0</v>
      </c>
      <c r="AZ149" s="33">
        <v>9999</v>
      </c>
      <c r="BA149" s="29">
        <v>5.5800831647479789E-6</v>
      </c>
      <c r="BB149" s="29">
        <v>0</v>
      </c>
      <c r="BC149" s="29">
        <v>0</v>
      </c>
      <c r="BD149" s="29">
        <v>0</v>
      </c>
      <c r="BE149" s="29">
        <v>5.5800831647479789E-6</v>
      </c>
      <c r="BF149" s="29">
        <v>0</v>
      </c>
      <c r="BG149" s="29">
        <v>0</v>
      </c>
      <c r="BH149" s="33">
        <v>9999</v>
      </c>
      <c r="BI149" s="29">
        <v>0</v>
      </c>
      <c r="BJ149" s="29">
        <v>0</v>
      </c>
      <c r="BK149" s="29">
        <v>0</v>
      </c>
      <c r="BL149" s="29">
        <v>0</v>
      </c>
      <c r="BM149" s="29">
        <v>0</v>
      </c>
      <c r="BN149" s="29">
        <v>5.5800831647479789E-6</v>
      </c>
      <c r="BO149" s="29">
        <v>0</v>
      </c>
      <c r="BP149" s="29">
        <v>0</v>
      </c>
      <c r="BQ149" s="29">
        <v>0</v>
      </c>
      <c r="BR149" s="29">
        <v>0</v>
      </c>
      <c r="BS149" s="29">
        <v>0</v>
      </c>
      <c r="BT149" s="29">
        <v>0</v>
      </c>
      <c r="BU149" s="29">
        <v>0</v>
      </c>
      <c r="BV149" s="29">
        <v>-66.160852192781277</v>
      </c>
      <c r="BW149" s="29">
        <v>0</v>
      </c>
      <c r="BX149" s="29">
        <v>0</v>
      </c>
      <c r="BY149" s="29"/>
      <c r="BZ149" s="29">
        <v>0</v>
      </c>
      <c r="CA149" s="29">
        <v>0</v>
      </c>
      <c r="CB149" s="29">
        <v>-66.160846612698109</v>
      </c>
      <c r="CC149" s="29">
        <v>0</v>
      </c>
      <c r="CD149" s="107">
        <v>8.4341162179842875E-8</v>
      </c>
      <c r="CE149" s="29">
        <v>454231097.73699379</v>
      </c>
      <c r="CF149" s="29">
        <v>1.018228403603893E-7</v>
      </c>
      <c r="CG149" s="29">
        <v>0</v>
      </c>
      <c r="CH149" s="29">
        <v>1.018228403603893E-7</v>
      </c>
      <c r="CI149" s="29">
        <v>5.090822452756698E-9</v>
      </c>
      <c r="CJ149" s="29">
        <v>0</v>
      </c>
      <c r="CK149" s="29">
        <v>5.090822452756698E-9</v>
      </c>
      <c r="CL149" s="29"/>
      <c r="CM149" s="29">
        <v>0</v>
      </c>
      <c r="CN149" s="29"/>
      <c r="CO149" s="29">
        <v>0</v>
      </c>
      <c r="CP149" s="29">
        <v>0</v>
      </c>
      <c r="CQ149" s="29">
        <v>0</v>
      </c>
      <c r="CR149" s="29">
        <v>0</v>
      </c>
      <c r="CS149" s="29">
        <v>0</v>
      </c>
      <c r="CT149" s="29">
        <v>0</v>
      </c>
      <c r="CU149" s="29">
        <v>0</v>
      </c>
      <c r="CV149" s="29">
        <v>9999</v>
      </c>
      <c r="CW149" s="33">
        <v>9999</v>
      </c>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row>
    <row r="150" spans="1:131">
      <c r="A150" s="7" t="s">
        <v>485</v>
      </c>
      <c r="B150" s="7" t="s">
        <v>356</v>
      </c>
      <c r="C150" s="29">
        <v>13</v>
      </c>
      <c r="D150" s="29">
        <v>1256.8914656855256</v>
      </c>
      <c r="E150" s="29">
        <v>0</v>
      </c>
      <c r="F150" s="29">
        <v>724.5875237038573</v>
      </c>
      <c r="G150" s="29">
        <v>0</v>
      </c>
      <c r="H150" s="29">
        <v>0</v>
      </c>
      <c r="I150" s="29" t="s">
        <v>569</v>
      </c>
      <c r="J150" s="29"/>
      <c r="K150" s="29"/>
      <c r="L150" s="29">
        <v>1349.5948715161526</v>
      </c>
      <c r="M150" s="29">
        <v>0.30033128679074628</v>
      </c>
      <c r="N150" s="29">
        <v>0.29816363024432752</v>
      </c>
      <c r="O150" s="29">
        <v>0</v>
      </c>
      <c r="P150" s="29">
        <v>0</v>
      </c>
      <c r="Q150" s="29">
        <v>0</v>
      </c>
      <c r="R150" s="29">
        <v>144.49243163055851</v>
      </c>
      <c r="S150" s="29">
        <v>333.90003232343054</v>
      </c>
      <c r="T150" s="29">
        <v>0</v>
      </c>
      <c r="U150" s="29">
        <v>524.46844781047821</v>
      </c>
      <c r="V150" s="29" t="s">
        <v>345</v>
      </c>
      <c r="W150" s="29" t="s">
        <v>345</v>
      </c>
      <c r="X150" s="29" t="s">
        <v>345</v>
      </c>
      <c r="Y150" s="29" t="s">
        <v>345</v>
      </c>
      <c r="Z150" s="29">
        <v>0</v>
      </c>
      <c r="AA150" s="29">
        <v>0</v>
      </c>
      <c r="AB150" s="29">
        <v>0</v>
      </c>
      <c r="AC150" s="29">
        <v>0</v>
      </c>
      <c r="AD150" s="29">
        <v>0</v>
      </c>
      <c r="AE150" s="29">
        <v>0</v>
      </c>
      <c r="AF150" s="29">
        <v>0</v>
      </c>
      <c r="AG150" s="29">
        <v>0</v>
      </c>
      <c r="AH150" s="29">
        <v>144.49243163055851</v>
      </c>
      <c r="AI150" s="29">
        <v>333.90003232343054</v>
      </c>
      <c r="AJ150" s="29">
        <v>0</v>
      </c>
      <c r="AK150" s="29">
        <v>524.46844781047821</v>
      </c>
      <c r="AL150" s="29">
        <v>1002.8609117644672</v>
      </c>
      <c r="AM150" s="29">
        <v>693.19650979611674</v>
      </c>
      <c r="AN150" s="29">
        <v>106.12160517634841</v>
      </c>
      <c r="AO150" s="29">
        <v>0</v>
      </c>
      <c r="AP150" s="29">
        <v>0</v>
      </c>
      <c r="AQ150" s="29">
        <v>799.3181149724652</v>
      </c>
      <c r="AR150" s="29">
        <v>144.49243163055851</v>
      </c>
      <c r="AS150" s="33">
        <v>5.5319029927891288</v>
      </c>
      <c r="AT150" s="29">
        <v>693.19650979611674</v>
      </c>
      <c r="AU150" s="29">
        <v>125.61637221584135</v>
      </c>
      <c r="AV150" s="29">
        <v>0</v>
      </c>
      <c r="AW150" s="29">
        <v>0</v>
      </c>
      <c r="AX150" s="29">
        <v>818.8128820119581</v>
      </c>
      <c r="AY150" s="29">
        <v>333.90003232343054</v>
      </c>
      <c r="AZ150" s="33">
        <v>2.4522695500035749</v>
      </c>
      <c r="BA150" s="29">
        <v>693.19650979611674</v>
      </c>
      <c r="BB150" s="29">
        <v>231.73797739218975</v>
      </c>
      <c r="BC150" s="29">
        <v>0</v>
      </c>
      <c r="BD150" s="29">
        <v>0</v>
      </c>
      <c r="BE150" s="29">
        <v>924.93448718830655</v>
      </c>
      <c r="BF150" s="29">
        <v>478.39246395398902</v>
      </c>
      <c r="BG150" s="29">
        <v>13.44793851153074</v>
      </c>
      <c r="BH150" s="33">
        <v>1.9334219430289044</v>
      </c>
      <c r="BI150" s="29">
        <v>7.8779241482090807</v>
      </c>
      <c r="BJ150" s="29">
        <v>18.204684481012208</v>
      </c>
      <c r="BK150" s="29">
        <v>0</v>
      </c>
      <c r="BL150" s="29">
        <v>28.594734017238917</v>
      </c>
      <c r="BM150" s="29">
        <v>54.677342646460204</v>
      </c>
      <c r="BN150" s="29">
        <v>693.19650979611674</v>
      </c>
      <c r="BO150" s="29">
        <v>0</v>
      </c>
      <c r="BP150" s="29">
        <v>231.73797739218975</v>
      </c>
      <c r="BQ150" s="29">
        <v>0</v>
      </c>
      <c r="BR150" s="29">
        <v>0</v>
      </c>
      <c r="BS150" s="29">
        <v>0</v>
      </c>
      <c r="BT150" s="29">
        <v>0</v>
      </c>
      <c r="BU150" s="29">
        <v>0</v>
      </c>
      <c r="BV150" s="29">
        <v>-66.869458375553577</v>
      </c>
      <c r="BW150" s="29">
        <v>0</v>
      </c>
      <c r="BX150" s="29">
        <v>1002.8609117644672</v>
      </c>
      <c r="BY150" s="29"/>
      <c r="BZ150" s="29">
        <v>0</v>
      </c>
      <c r="CA150" s="29">
        <v>0</v>
      </c>
      <c r="CB150" s="29">
        <v>858.06502881275298</v>
      </c>
      <c r="CC150" s="29">
        <v>1002.8609117644672</v>
      </c>
      <c r="CD150" s="107">
        <v>0.86464263613198022</v>
      </c>
      <c r="CE150" s="29">
        <v>45.688486464971866</v>
      </c>
      <c r="CF150" s="29">
        <v>12.821304836729542</v>
      </c>
      <c r="CG150" s="29">
        <v>0</v>
      </c>
      <c r="CH150" s="29">
        <v>12.821304836729542</v>
      </c>
      <c r="CI150" s="29">
        <v>0.64105756397017244</v>
      </c>
      <c r="CJ150" s="29">
        <v>0</v>
      </c>
      <c r="CK150" s="29">
        <v>0.64105756397017244</v>
      </c>
      <c r="CL150" s="29"/>
      <c r="CM150" s="29">
        <v>0</v>
      </c>
      <c r="CN150" s="29"/>
      <c r="CO150" s="29">
        <v>0</v>
      </c>
      <c r="CP150" s="29">
        <v>0</v>
      </c>
      <c r="CQ150" s="29">
        <v>0</v>
      </c>
      <c r="CR150" s="29">
        <v>0</v>
      </c>
      <c r="CS150" s="29">
        <v>0</v>
      </c>
      <c r="CT150" s="29">
        <v>0</v>
      </c>
      <c r="CU150" s="29">
        <v>0</v>
      </c>
      <c r="CV150" s="29">
        <v>9999</v>
      </c>
      <c r="CW150" s="33">
        <v>9999</v>
      </c>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row>
    <row r="151" spans="1:131">
      <c r="A151" s="7" t="s">
        <v>485</v>
      </c>
      <c r="B151" s="7" t="s">
        <v>357</v>
      </c>
      <c r="C151" s="29">
        <v>13</v>
      </c>
      <c r="D151" s="29">
        <v>-14.080608314333379</v>
      </c>
      <c r="E151" s="29">
        <v>-18.980054965029311</v>
      </c>
      <c r="F151" s="29">
        <v>0</v>
      </c>
      <c r="G151" s="29">
        <v>0</v>
      </c>
      <c r="H151" s="29">
        <v>0</v>
      </c>
      <c r="I151" s="29" t="s">
        <v>551</v>
      </c>
      <c r="J151" s="29"/>
      <c r="K151" s="29"/>
      <c r="L151" s="29">
        <v>-15.184257296258812</v>
      </c>
      <c r="M151" s="29">
        <v>-7.9401345577606291E-3</v>
      </c>
      <c r="N151" s="29">
        <v>-7.8828262272250642E-3</v>
      </c>
      <c r="O151" s="29">
        <v>-19.169855554849573</v>
      </c>
      <c r="P151" s="29">
        <v>0</v>
      </c>
      <c r="Q151" s="29">
        <v>0</v>
      </c>
      <c r="R151" s="29">
        <v>0</v>
      </c>
      <c r="S151" s="29">
        <v>0</v>
      </c>
      <c r="T151" s="29">
        <v>0</v>
      </c>
      <c r="U151" s="29">
        <v>0</v>
      </c>
      <c r="V151" s="29" t="s">
        <v>345</v>
      </c>
      <c r="W151" s="29" t="s">
        <v>345</v>
      </c>
      <c r="X151" s="29" t="s">
        <v>345</v>
      </c>
      <c r="Y151" s="29" t="s">
        <v>345</v>
      </c>
      <c r="Z151" s="29">
        <v>0</v>
      </c>
      <c r="AA151" s="29">
        <v>0</v>
      </c>
      <c r="AB151" s="29">
        <v>0</v>
      </c>
      <c r="AC151" s="29">
        <v>0</v>
      </c>
      <c r="AD151" s="29">
        <v>0</v>
      </c>
      <c r="AE151" s="29">
        <v>0</v>
      </c>
      <c r="AF151" s="29">
        <v>0</v>
      </c>
      <c r="AG151" s="29">
        <v>0</v>
      </c>
      <c r="AH151" s="29">
        <v>0</v>
      </c>
      <c r="AI151" s="29">
        <v>0</v>
      </c>
      <c r="AJ151" s="29">
        <v>0</v>
      </c>
      <c r="AK151" s="29">
        <v>0</v>
      </c>
      <c r="AL151" s="29">
        <v>0</v>
      </c>
      <c r="AM151" s="29">
        <v>-7.9979581153399817</v>
      </c>
      <c r="AN151" s="29">
        <v>-2.8056345164359882</v>
      </c>
      <c r="AO151" s="29">
        <v>0</v>
      </c>
      <c r="AP151" s="29">
        <v>0</v>
      </c>
      <c r="AQ151" s="29">
        <v>-10.80359263177597</v>
      </c>
      <c r="AR151" s="29">
        <v>0</v>
      </c>
      <c r="AS151" s="107">
        <v>0</v>
      </c>
      <c r="AT151" s="29">
        <v>-7.9979581153399817</v>
      </c>
      <c r="AU151" s="29">
        <v>-3.3210356094084297</v>
      </c>
      <c r="AV151" s="29">
        <v>0</v>
      </c>
      <c r="AW151" s="29">
        <v>0</v>
      </c>
      <c r="AX151" s="29">
        <v>-11.318993724748411</v>
      </c>
      <c r="AY151" s="29">
        <v>0</v>
      </c>
      <c r="AZ151" s="107">
        <v>0</v>
      </c>
      <c r="BA151" s="29">
        <v>-7.9979581153399817</v>
      </c>
      <c r="BB151" s="29">
        <v>-6.1266701258444183</v>
      </c>
      <c r="BC151" s="29">
        <v>0</v>
      </c>
      <c r="BD151" s="29">
        <v>0</v>
      </c>
      <c r="BE151" s="29">
        <v>-14.1246282411844</v>
      </c>
      <c r="BF151" s="29">
        <v>0</v>
      </c>
      <c r="BG151" s="29">
        <v>9999</v>
      </c>
      <c r="BH151" s="107">
        <v>0</v>
      </c>
      <c r="BI151" s="29">
        <v>9999</v>
      </c>
      <c r="BJ151" s="29">
        <v>9999</v>
      </c>
      <c r="BK151" s="29">
        <v>9999</v>
      </c>
      <c r="BL151" s="29">
        <v>9999</v>
      </c>
      <c r="BM151" s="29">
        <v>9999</v>
      </c>
      <c r="BN151" s="29">
        <v>-7.9979581153399817</v>
      </c>
      <c r="BO151" s="29">
        <v>-148.75172358337144</v>
      </c>
      <c r="BP151" s="29">
        <v>-6.1266701258444183</v>
      </c>
      <c r="BQ151" s="29">
        <v>0</v>
      </c>
      <c r="BR151" s="29">
        <v>0</v>
      </c>
      <c r="BS151" s="29">
        <v>0</v>
      </c>
      <c r="BT151" s="29">
        <v>0</v>
      </c>
      <c r="BU151" s="29">
        <v>0</v>
      </c>
      <c r="BV151" s="29">
        <v>-66.869458375553577</v>
      </c>
      <c r="BW151" s="29">
        <v>0</v>
      </c>
      <c r="BX151" s="29">
        <v>0</v>
      </c>
      <c r="BY151" s="29"/>
      <c r="BZ151" s="29">
        <v>0</v>
      </c>
      <c r="CA151" s="29">
        <v>0</v>
      </c>
      <c r="CB151" s="29">
        <v>-229.74581020010942</v>
      </c>
      <c r="CC151" s="29">
        <v>0</v>
      </c>
      <c r="CD151" s="107">
        <v>0</v>
      </c>
      <c r="CE151" s="29">
        <v>9999</v>
      </c>
      <c r="CF151" s="29">
        <v>-0.14425136450979581</v>
      </c>
      <c r="CG151" s="29">
        <v>-2.2428730999173965</v>
      </c>
      <c r="CH151" s="29">
        <v>-2.3871244644271923</v>
      </c>
      <c r="CI151" s="29">
        <v>-7.2125222157229359E-3</v>
      </c>
      <c r="CJ151" s="29">
        <v>-0.11214365499586997</v>
      </c>
      <c r="CK151" s="29">
        <v>-0.1193561772115929</v>
      </c>
      <c r="CL151" s="29"/>
      <c r="CM151" s="29">
        <v>-18.980054965029311</v>
      </c>
      <c r="CN151" s="29" t="s">
        <v>551</v>
      </c>
      <c r="CO151" s="29">
        <v>0</v>
      </c>
      <c r="CP151" s="29">
        <v>0</v>
      </c>
      <c r="CQ151" s="29">
        <v>-148.75172358337144</v>
      </c>
      <c r="CR151" s="29">
        <v>0</v>
      </c>
      <c r="CS151" s="29">
        <v>0</v>
      </c>
      <c r="CT151" s="29">
        <v>-148.75172358337144</v>
      </c>
      <c r="CU151" s="29">
        <v>0</v>
      </c>
      <c r="CV151" s="29">
        <v>9999</v>
      </c>
      <c r="CW151" s="107">
        <v>0</v>
      </c>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row>
    <row r="152" spans="1:131">
      <c r="A152" s="7" t="s">
        <v>485</v>
      </c>
      <c r="B152" s="7" t="s">
        <v>359</v>
      </c>
      <c r="C152" s="29">
        <v>13</v>
      </c>
      <c r="D152" s="29">
        <v>30.980944371868173</v>
      </c>
      <c r="E152" s="29">
        <v>0</v>
      </c>
      <c r="F152" s="29">
        <v>0</v>
      </c>
      <c r="G152" s="29">
        <v>0</v>
      </c>
      <c r="H152" s="29">
        <v>0</v>
      </c>
      <c r="I152" s="29" t="s">
        <v>552</v>
      </c>
      <c r="J152" s="29"/>
      <c r="K152" s="29"/>
      <c r="L152" s="29">
        <v>33.203892045455312</v>
      </c>
      <c r="M152" s="29">
        <v>0</v>
      </c>
      <c r="N152" s="29">
        <v>0</v>
      </c>
      <c r="O152" s="29">
        <v>0</v>
      </c>
      <c r="P152" s="29">
        <v>0</v>
      </c>
      <c r="Q152" s="29">
        <v>0</v>
      </c>
      <c r="R152" s="29">
        <v>0</v>
      </c>
      <c r="S152" s="29">
        <v>0</v>
      </c>
      <c r="T152" s="29">
        <v>0</v>
      </c>
      <c r="U152" s="29">
        <v>0</v>
      </c>
      <c r="V152" s="29" t="s">
        <v>345</v>
      </c>
      <c r="W152" s="29" t="s">
        <v>345</v>
      </c>
      <c r="X152" s="29" t="s">
        <v>345</v>
      </c>
      <c r="Y152" s="29" t="s">
        <v>345</v>
      </c>
      <c r="Z152" s="29">
        <v>0</v>
      </c>
      <c r="AA152" s="29">
        <v>0</v>
      </c>
      <c r="AB152" s="29">
        <v>0</v>
      </c>
      <c r="AC152" s="29">
        <v>0</v>
      </c>
      <c r="AD152" s="29">
        <v>0</v>
      </c>
      <c r="AE152" s="29">
        <v>0</v>
      </c>
      <c r="AF152" s="29">
        <v>0</v>
      </c>
      <c r="AG152" s="29">
        <v>0</v>
      </c>
      <c r="AH152" s="29">
        <v>0</v>
      </c>
      <c r="AI152" s="29">
        <v>0</v>
      </c>
      <c r="AJ152" s="29">
        <v>0</v>
      </c>
      <c r="AK152" s="29">
        <v>0</v>
      </c>
      <c r="AL152" s="29">
        <v>0</v>
      </c>
      <c r="AM152" s="29">
        <v>17.287624611745528</v>
      </c>
      <c r="AN152" s="29">
        <v>0</v>
      </c>
      <c r="AO152" s="29">
        <v>0</v>
      </c>
      <c r="AP152" s="29">
        <v>0</v>
      </c>
      <c r="AQ152" s="29">
        <v>17.287624611745528</v>
      </c>
      <c r="AR152" s="29">
        <v>0</v>
      </c>
      <c r="AS152" s="33">
        <v>9999</v>
      </c>
      <c r="AT152" s="29">
        <v>17.287624611745528</v>
      </c>
      <c r="AU152" s="29">
        <v>0</v>
      </c>
      <c r="AV152" s="29">
        <v>0</v>
      </c>
      <c r="AW152" s="29">
        <v>0</v>
      </c>
      <c r="AX152" s="29">
        <v>17.287624611745528</v>
      </c>
      <c r="AY152" s="29">
        <v>0</v>
      </c>
      <c r="AZ152" s="33">
        <v>9999</v>
      </c>
      <c r="BA152" s="29">
        <v>17.287624611745528</v>
      </c>
      <c r="BB152" s="29">
        <v>0</v>
      </c>
      <c r="BC152" s="29">
        <v>0</v>
      </c>
      <c r="BD152" s="29">
        <v>0</v>
      </c>
      <c r="BE152" s="29">
        <v>17.287624611745528</v>
      </c>
      <c r="BF152" s="29">
        <v>0</v>
      </c>
      <c r="BG152" s="29">
        <v>0</v>
      </c>
      <c r="BH152" s="33">
        <v>9999</v>
      </c>
      <c r="BI152" s="29">
        <v>0</v>
      </c>
      <c r="BJ152" s="29">
        <v>0</v>
      </c>
      <c r="BK152" s="29">
        <v>0</v>
      </c>
      <c r="BL152" s="29">
        <v>0</v>
      </c>
      <c r="BM152" s="29">
        <v>0</v>
      </c>
      <c r="BN152" s="29">
        <v>17.287624611745528</v>
      </c>
      <c r="BO152" s="29">
        <v>0</v>
      </c>
      <c r="BP152" s="29">
        <v>0</v>
      </c>
      <c r="BQ152" s="29">
        <v>0</v>
      </c>
      <c r="BR152" s="29">
        <v>0</v>
      </c>
      <c r="BS152" s="29">
        <v>0</v>
      </c>
      <c r="BT152" s="29">
        <v>0</v>
      </c>
      <c r="BU152" s="29">
        <v>0</v>
      </c>
      <c r="BV152" s="29">
        <v>-66.869458375553577</v>
      </c>
      <c r="BW152" s="29">
        <v>0</v>
      </c>
      <c r="BX152" s="29">
        <v>0</v>
      </c>
      <c r="BY152" s="29"/>
      <c r="BZ152" s="29">
        <v>0</v>
      </c>
      <c r="CA152" s="29">
        <v>0</v>
      </c>
      <c r="CB152" s="29">
        <v>-49.581833763808049</v>
      </c>
      <c r="CC152" s="29">
        <v>0</v>
      </c>
      <c r="CD152" s="107">
        <v>0.25852795927633254</v>
      </c>
      <c r="CE152" s="29">
        <v>148.18659764538307</v>
      </c>
      <c r="CF152" s="29">
        <v>0.31545677529908328</v>
      </c>
      <c r="CG152" s="29">
        <v>0</v>
      </c>
      <c r="CH152" s="29">
        <v>0.31545677529908328</v>
      </c>
      <c r="CI152" s="29">
        <v>1.5771848721591274E-2</v>
      </c>
      <c r="CJ152" s="29">
        <v>0</v>
      </c>
      <c r="CK152" s="29">
        <v>1.5771848721591274E-2</v>
      </c>
      <c r="CL152" s="29"/>
      <c r="CM152" s="29">
        <v>0</v>
      </c>
      <c r="CN152" s="29"/>
      <c r="CO152" s="29">
        <v>0</v>
      </c>
      <c r="CP152" s="29">
        <v>0</v>
      </c>
      <c r="CQ152" s="29">
        <v>0</v>
      </c>
      <c r="CR152" s="29">
        <v>0</v>
      </c>
      <c r="CS152" s="29">
        <v>0</v>
      </c>
      <c r="CT152" s="29">
        <v>0</v>
      </c>
      <c r="CU152" s="29">
        <v>0</v>
      </c>
      <c r="CV152" s="29">
        <v>9999</v>
      </c>
      <c r="CW152" s="33">
        <v>9999</v>
      </c>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row>
    <row r="153" spans="1:131">
      <c r="A153" s="7" t="s">
        <v>486</v>
      </c>
      <c r="B153" s="7" t="s">
        <v>356</v>
      </c>
      <c r="C153" s="29">
        <v>13</v>
      </c>
      <c r="D153" s="29">
        <v>1271.3874301974433</v>
      </c>
      <c r="E153" s="29">
        <v>0</v>
      </c>
      <c r="F153" s="29">
        <v>724.5875237038573</v>
      </c>
      <c r="G153" s="29">
        <v>0</v>
      </c>
      <c r="H153" s="29">
        <v>0</v>
      </c>
      <c r="I153" s="29" t="s">
        <v>569</v>
      </c>
      <c r="J153" s="29"/>
      <c r="K153" s="29"/>
      <c r="L153" s="29">
        <v>1365.1600017577634</v>
      </c>
      <c r="M153" s="29">
        <v>0.30379506373091564</v>
      </c>
      <c r="N153" s="29">
        <v>0.3016024071958513</v>
      </c>
      <c r="O153" s="29">
        <v>0</v>
      </c>
      <c r="P153" s="29">
        <v>0</v>
      </c>
      <c r="Q153" s="29">
        <v>0</v>
      </c>
      <c r="R153" s="29">
        <v>144.49243163055851</v>
      </c>
      <c r="S153" s="29">
        <v>333.90003232343054</v>
      </c>
      <c r="T153" s="29">
        <v>0</v>
      </c>
      <c r="U153" s="29">
        <v>524.46844781047821</v>
      </c>
      <c r="V153" s="29" t="s">
        <v>345</v>
      </c>
      <c r="W153" s="29" t="s">
        <v>345</v>
      </c>
      <c r="X153" s="29" t="s">
        <v>345</v>
      </c>
      <c r="Y153" s="29" t="s">
        <v>345</v>
      </c>
      <c r="Z153" s="29">
        <v>0</v>
      </c>
      <c r="AA153" s="29">
        <v>0</v>
      </c>
      <c r="AB153" s="29">
        <v>0</v>
      </c>
      <c r="AC153" s="29">
        <v>0</v>
      </c>
      <c r="AD153" s="29">
        <v>0</v>
      </c>
      <c r="AE153" s="29">
        <v>0</v>
      </c>
      <c r="AF153" s="29">
        <v>0</v>
      </c>
      <c r="AG153" s="29">
        <v>0</v>
      </c>
      <c r="AH153" s="29">
        <v>144.49243163055851</v>
      </c>
      <c r="AI153" s="29">
        <v>333.90003232343054</v>
      </c>
      <c r="AJ153" s="29">
        <v>0</v>
      </c>
      <c r="AK153" s="29">
        <v>524.46844781047821</v>
      </c>
      <c r="AL153" s="29">
        <v>1002.8609117644672</v>
      </c>
      <c r="AM153" s="29">
        <v>701.1912748813487</v>
      </c>
      <c r="AN153" s="29">
        <v>107.34552551042837</v>
      </c>
      <c r="AO153" s="29">
        <v>0</v>
      </c>
      <c r="AP153" s="29">
        <v>0</v>
      </c>
      <c r="AQ153" s="29">
        <v>808.53680039177709</v>
      </c>
      <c r="AR153" s="29">
        <v>144.49243163055851</v>
      </c>
      <c r="AS153" s="33">
        <v>5.5957034653487048</v>
      </c>
      <c r="AT153" s="29">
        <v>701.1912748813487</v>
      </c>
      <c r="AU153" s="29">
        <v>127.06512934680291</v>
      </c>
      <c r="AV153" s="29">
        <v>0</v>
      </c>
      <c r="AW153" s="29">
        <v>0</v>
      </c>
      <c r="AX153" s="29">
        <v>828.25640422815161</v>
      </c>
      <c r="AY153" s="29">
        <v>333.90003232343054</v>
      </c>
      <c r="AZ153" s="33">
        <v>2.4805520336873323</v>
      </c>
      <c r="BA153" s="29">
        <v>701.1912748813487</v>
      </c>
      <c r="BB153" s="29">
        <v>234.41065485723129</v>
      </c>
      <c r="BC153" s="29">
        <v>0</v>
      </c>
      <c r="BD153" s="29">
        <v>0</v>
      </c>
      <c r="BE153" s="29">
        <v>935.60192973858</v>
      </c>
      <c r="BF153" s="29">
        <v>478.39246395398902</v>
      </c>
      <c r="BG153" s="29">
        <v>13.150552710722005</v>
      </c>
      <c r="BH153" s="33">
        <v>1.9557204601545826</v>
      </c>
      <c r="BI153" s="29">
        <v>7.7881025044145646</v>
      </c>
      <c r="BJ153" s="29">
        <v>17.997120323997983</v>
      </c>
      <c r="BK153" s="29">
        <v>0</v>
      </c>
      <c r="BL153" s="29">
        <v>28.268705743168869</v>
      </c>
      <c r="BM153" s="29">
        <v>54.053928571581423</v>
      </c>
      <c r="BN153" s="29">
        <v>701.1912748813487</v>
      </c>
      <c r="BO153" s="29">
        <v>0</v>
      </c>
      <c r="BP153" s="29">
        <v>234.41065485723129</v>
      </c>
      <c r="BQ153" s="29">
        <v>0</v>
      </c>
      <c r="BR153" s="29">
        <v>0</v>
      </c>
      <c r="BS153" s="29">
        <v>0</v>
      </c>
      <c r="BT153" s="29">
        <v>0</v>
      </c>
      <c r="BU153" s="29">
        <v>0</v>
      </c>
      <c r="BV153" s="29">
        <v>-46.643644840254794</v>
      </c>
      <c r="BW153" s="29">
        <v>0</v>
      </c>
      <c r="BX153" s="29">
        <v>1002.8609117644672</v>
      </c>
      <c r="BY153" s="29"/>
      <c r="BZ153" s="29">
        <v>0</v>
      </c>
      <c r="CA153" s="29">
        <v>0</v>
      </c>
      <c r="CB153" s="29">
        <v>888.95828489832525</v>
      </c>
      <c r="CC153" s="29">
        <v>1002.8609117644672</v>
      </c>
      <c r="CD153" s="107">
        <v>0.89147009781965003</v>
      </c>
      <c r="CE153" s="29">
        <v>43.933338140252701</v>
      </c>
      <c r="CF153" s="29">
        <v>12.969175345030212</v>
      </c>
      <c r="CG153" s="29">
        <v>0</v>
      </c>
      <c r="CH153" s="29">
        <v>12.969175345030212</v>
      </c>
      <c r="CI153" s="29">
        <v>0.64845100083493745</v>
      </c>
      <c r="CJ153" s="29">
        <v>0</v>
      </c>
      <c r="CK153" s="29">
        <v>0.64845100083493745</v>
      </c>
      <c r="CL153" s="29"/>
      <c r="CM153" s="29">
        <v>0</v>
      </c>
      <c r="CN153" s="29"/>
      <c r="CO153" s="29">
        <v>0</v>
      </c>
      <c r="CP153" s="29">
        <v>0</v>
      </c>
      <c r="CQ153" s="29">
        <v>0</v>
      </c>
      <c r="CR153" s="29">
        <v>0</v>
      </c>
      <c r="CS153" s="29">
        <v>0</v>
      </c>
      <c r="CT153" s="29">
        <v>0</v>
      </c>
      <c r="CU153" s="29">
        <v>0</v>
      </c>
      <c r="CV153" s="29">
        <v>9999</v>
      </c>
      <c r="CW153" s="33">
        <v>9999</v>
      </c>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row>
    <row r="154" spans="1:131">
      <c r="A154" s="7" t="s">
        <v>486</v>
      </c>
      <c r="B154" s="7" t="s">
        <v>357</v>
      </c>
      <c r="C154" s="29">
        <v>13</v>
      </c>
      <c r="D154" s="29">
        <v>-340.13690483525392</v>
      </c>
      <c r="E154" s="29">
        <v>-0.6167469118019353</v>
      </c>
      <c r="F154" s="29">
        <v>0</v>
      </c>
      <c r="G154" s="29">
        <v>0</v>
      </c>
      <c r="H154" s="29">
        <v>0</v>
      </c>
      <c r="I154" s="29" t="s">
        <v>551</v>
      </c>
      <c r="J154" s="29"/>
      <c r="K154" s="29"/>
      <c r="L154" s="29">
        <v>-366.79709879538029</v>
      </c>
      <c r="M154" s="29">
        <v>-0.19180512177893072</v>
      </c>
      <c r="N154" s="29">
        <v>-0.19042075842370548</v>
      </c>
      <c r="O154" s="29">
        <v>-0.62291438222525675</v>
      </c>
      <c r="P154" s="29">
        <v>0</v>
      </c>
      <c r="Q154" s="29">
        <v>0</v>
      </c>
      <c r="R154" s="29">
        <v>0</v>
      </c>
      <c r="S154" s="29">
        <v>0</v>
      </c>
      <c r="T154" s="29">
        <v>0</v>
      </c>
      <c r="U154" s="29">
        <v>0</v>
      </c>
      <c r="V154" s="29" t="s">
        <v>345</v>
      </c>
      <c r="W154" s="29" t="s">
        <v>345</v>
      </c>
      <c r="X154" s="29" t="s">
        <v>345</v>
      </c>
      <c r="Y154" s="29" t="s">
        <v>345</v>
      </c>
      <c r="Z154" s="29">
        <v>0</v>
      </c>
      <c r="AA154" s="29">
        <v>0</v>
      </c>
      <c r="AB154" s="29">
        <v>0</v>
      </c>
      <c r="AC154" s="29">
        <v>0</v>
      </c>
      <c r="AD154" s="29">
        <v>0</v>
      </c>
      <c r="AE154" s="29">
        <v>0</v>
      </c>
      <c r="AF154" s="29">
        <v>0</v>
      </c>
      <c r="AG154" s="29">
        <v>0</v>
      </c>
      <c r="AH154" s="29">
        <v>0</v>
      </c>
      <c r="AI154" s="29">
        <v>0</v>
      </c>
      <c r="AJ154" s="29">
        <v>0</v>
      </c>
      <c r="AK154" s="29">
        <v>0</v>
      </c>
      <c r="AL154" s="29">
        <v>0</v>
      </c>
      <c r="AM154" s="29">
        <v>-193.20193116830808</v>
      </c>
      <c r="AN154" s="29">
        <v>-67.774049189910357</v>
      </c>
      <c r="AO154" s="29">
        <v>0</v>
      </c>
      <c r="AP154" s="29">
        <v>0</v>
      </c>
      <c r="AQ154" s="29">
        <v>-260.97598035821841</v>
      </c>
      <c r="AR154" s="29">
        <v>0</v>
      </c>
      <c r="AS154" s="107">
        <v>0</v>
      </c>
      <c r="AT154" s="29">
        <v>-193.20193116830808</v>
      </c>
      <c r="AU154" s="29">
        <v>-80.224287744866771</v>
      </c>
      <c r="AV154" s="29">
        <v>0</v>
      </c>
      <c r="AW154" s="29">
        <v>0</v>
      </c>
      <c r="AX154" s="29">
        <v>-273.42621891317486</v>
      </c>
      <c r="AY154" s="29">
        <v>0</v>
      </c>
      <c r="AZ154" s="107">
        <v>0</v>
      </c>
      <c r="BA154" s="29">
        <v>-193.20193116830808</v>
      </c>
      <c r="BB154" s="29">
        <v>-147.99833693477711</v>
      </c>
      <c r="BC154" s="29">
        <v>0</v>
      </c>
      <c r="BD154" s="29">
        <v>0</v>
      </c>
      <c r="BE154" s="29">
        <v>-341.20026810308525</v>
      </c>
      <c r="BF154" s="29">
        <v>0</v>
      </c>
      <c r="BG154" s="29">
        <v>9999</v>
      </c>
      <c r="BH154" s="107">
        <v>0</v>
      </c>
      <c r="BI154" s="29">
        <v>9999</v>
      </c>
      <c r="BJ154" s="29">
        <v>9999</v>
      </c>
      <c r="BK154" s="29">
        <v>9999</v>
      </c>
      <c r="BL154" s="29">
        <v>9999</v>
      </c>
      <c r="BM154" s="29">
        <v>9999</v>
      </c>
      <c r="BN154" s="29">
        <v>-193.20193116830808</v>
      </c>
      <c r="BO154" s="29">
        <v>-4.8336090867120332</v>
      </c>
      <c r="BP154" s="29">
        <v>-147.99833693477711</v>
      </c>
      <c r="BQ154" s="29">
        <v>0</v>
      </c>
      <c r="BR154" s="29">
        <v>0</v>
      </c>
      <c r="BS154" s="29">
        <v>0</v>
      </c>
      <c r="BT154" s="29">
        <v>0</v>
      </c>
      <c r="BU154" s="29">
        <v>0</v>
      </c>
      <c r="BV154" s="29">
        <v>-46.643644840254794</v>
      </c>
      <c r="BW154" s="29">
        <v>0</v>
      </c>
      <c r="BX154" s="29">
        <v>0</v>
      </c>
      <c r="BY154" s="29"/>
      <c r="BZ154" s="29">
        <v>0</v>
      </c>
      <c r="CA154" s="29">
        <v>0</v>
      </c>
      <c r="CB154" s="29">
        <v>-392.67752203005205</v>
      </c>
      <c r="CC154" s="29">
        <v>0</v>
      </c>
      <c r="CD154" s="107">
        <v>0</v>
      </c>
      <c r="CE154" s="29">
        <v>9999</v>
      </c>
      <c r="CF154" s="29">
        <v>-3.4845946671691648</v>
      </c>
      <c r="CG154" s="29">
        <v>-7.2880982720355092E-2</v>
      </c>
      <c r="CH154" s="29">
        <v>-3.5574756498895197</v>
      </c>
      <c r="CI154" s="29">
        <v>-0.17422862192780564</v>
      </c>
      <c r="CJ154" s="29">
        <v>-3.6440491360177508E-3</v>
      </c>
      <c r="CK154" s="29">
        <v>-0.1778726710638234</v>
      </c>
      <c r="CL154" s="29"/>
      <c r="CM154" s="29">
        <v>-0.6167469118019353</v>
      </c>
      <c r="CN154" s="29" t="s">
        <v>551</v>
      </c>
      <c r="CO154" s="29">
        <v>0</v>
      </c>
      <c r="CP154" s="29">
        <v>0</v>
      </c>
      <c r="CQ154" s="29">
        <v>-4.8336090867120332</v>
      </c>
      <c r="CR154" s="29">
        <v>0</v>
      </c>
      <c r="CS154" s="29">
        <v>0</v>
      </c>
      <c r="CT154" s="29">
        <v>-4.8336090867120332</v>
      </c>
      <c r="CU154" s="29">
        <v>0</v>
      </c>
      <c r="CV154" s="29">
        <v>9999</v>
      </c>
      <c r="CW154" s="107">
        <v>0</v>
      </c>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row>
    <row r="155" spans="1:131">
      <c r="A155" s="7" t="s">
        <v>486</v>
      </c>
      <c r="B155" s="7" t="s">
        <v>359</v>
      </c>
      <c r="C155" s="29">
        <v>13</v>
      </c>
      <c r="D155" s="29">
        <v>1.0000000000000001E-5</v>
      </c>
      <c r="E155" s="29">
        <v>0</v>
      </c>
      <c r="F155" s="29">
        <v>0</v>
      </c>
      <c r="G155" s="29">
        <v>0</v>
      </c>
      <c r="H155" s="29">
        <v>0</v>
      </c>
      <c r="I155" s="29" t="s">
        <v>552</v>
      </c>
      <c r="J155" s="29"/>
      <c r="K155" s="29"/>
      <c r="L155" s="29">
        <v>1.0717520953171996E-5</v>
      </c>
      <c r="M155" s="29">
        <v>0</v>
      </c>
      <c r="N155" s="29">
        <v>0</v>
      </c>
      <c r="O155" s="29">
        <v>0</v>
      </c>
      <c r="P155" s="29">
        <v>0</v>
      </c>
      <c r="Q155" s="29">
        <v>0</v>
      </c>
      <c r="R155" s="29">
        <v>0</v>
      </c>
      <c r="S155" s="29">
        <v>0</v>
      </c>
      <c r="T155" s="29">
        <v>0</v>
      </c>
      <c r="U155" s="29">
        <v>0</v>
      </c>
      <c r="V155" s="29" t="s">
        <v>345</v>
      </c>
      <c r="W155" s="29" t="s">
        <v>345</v>
      </c>
      <c r="X155" s="29" t="s">
        <v>345</v>
      </c>
      <c r="Y155" s="29" t="s">
        <v>345</v>
      </c>
      <c r="Z155" s="29">
        <v>0</v>
      </c>
      <c r="AA155" s="29">
        <v>0</v>
      </c>
      <c r="AB155" s="29">
        <v>0</v>
      </c>
      <c r="AC155" s="29">
        <v>0</v>
      </c>
      <c r="AD155" s="29">
        <v>0</v>
      </c>
      <c r="AE155" s="29">
        <v>0</v>
      </c>
      <c r="AF155" s="29">
        <v>0</v>
      </c>
      <c r="AG155" s="29">
        <v>0</v>
      </c>
      <c r="AH155" s="29">
        <v>0</v>
      </c>
      <c r="AI155" s="29">
        <v>0</v>
      </c>
      <c r="AJ155" s="29">
        <v>0</v>
      </c>
      <c r="AK155" s="29">
        <v>0</v>
      </c>
      <c r="AL155" s="29">
        <v>0</v>
      </c>
      <c r="AM155" s="29">
        <v>5.5800831647479789E-6</v>
      </c>
      <c r="AN155" s="29">
        <v>0</v>
      </c>
      <c r="AO155" s="29">
        <v>0</v>
      </c>
      <c r="AP155" s="29">
        <v>0</v>
      </c>
      <c r="AQ155" s="29">
        <v>5.5800831647479789E-6</v>
      </c>
      <c r="AR155" s="29">
        <v>0</v>
      </c>
      <c r="AS155" s="33">
        <v>9999</v>
      </c>
      <c r="AT155" s="29">
        <v>5.5800831647479789E-6</v>
      </c>
      <c r="AU155" s="29">
        <v>0</v>
      </c>
      <c r="AV155" s="29">
        <v>0</v>
      </c>
      <c r="AW155" s="29">
        <v>0</v>
      </c>
      <c r="AX155" s="29">
        <v>5.5800831647479789E-6</v>
      </c>
      <c r="AY155" s="29">
        <v>0</v>
      </c>
      <c r="AZ155" s="33">
        <v>9999</v>
      </c>
      <c r="BA155" s="29">
        <v>5.5800831647479789E-6</v>
      </c>
      <c r="BB155" s="29">
        <v>0</v>
      </c>
      <c r="BC155" s="29">
        <v>0</v>
      </c>
      <c r="BD155" s="29">
        <v>0</v>
      </c>
      <c r="BE155" s="29">
        <v>5.5800831647479789E-6</v>
      </c>
      <c r="BF155" s="29">
        <v>0</v>
      </c>
      <c r="BG155" s="29">
        <v>0</v>
      </c>
      <c r="BH155" s="33">
        <v>9999</v>
      </c>
      <c r="BI155" s="29">
        <v>0</v>
      </c>
      <c r="BJ155" s="29">
        <v>0</v>
      </c>
      <c r="BK155" s="29">
        <v>0</v>
      </c>
      <c r="BL155" s="29">
        <v>0</v>
      </c>
      <c r="BM155" s="29">
        <v>0</v>
      </c>
      <c r="BN155" s="29">
        <v>5.5800831647479789E-6</v>
      </c>
      <c r="BO155" s="29">
        <v>0</v>
      </c>
      <c r="BP155" s="29">
        <v>0</v>
      </c>
      <c r="BQ155" s="29">
        <v>0</v>
      </c>
      <c r="BR155" s="29">
        <v>0</v>
      </c>
      <c r="BS155" s="29">
        <v>0</v>
      </c>
      <c r="BT155" s="29">
        <v>0</v>
      </c>
      <c r="BU155" s="29">
        <v>0</v>
      </c>
      <c r="BV155" s="29">
        <v>-46.643644840254794</v>
      </c>
      <c r="BW155" s="29">
        <v>0</v>
      </c>
      <c r="BX155" s="29">
        <v>0</v>
      </c>
      <c r="BY155" s="29"/>
      <c r="BZ155" s="29">
        <v>0</v>
      </c>
      <c r="CA155" s="29">
        <v>0</v>
      </c>
      <c r="CB155" s="29">
        <v>-46.643639260171632</v>
      </c>
      <c r="CC155" s="29">
        <v>0</v>
      </c>
      <c r="CD155" s="107">
        <v>1.196322282244163E-7</v>
      </c>
      <c r="CE155" s="29">
        <v>320234599.40491945</v>
      </c>
      <c r="CF155" s="29">
        <v>1.018228403603893E-7</v>
      </c>
      <c r="CG155" s="29">
        <v>0</v>
      </c>
      <c r="CH155" s="29">
        <v>1.018228403603893E-7</v>
      </c>
      <c r="CI155" s="29">
        <v>5.090822452756698E-9</v>
      </c>
      <c r="CJ155" s="29">
        <v>0</v>
      </c>
      <c r="CK155" s="29">
        <v>5.090822452756698E-9</v>
      </c>
      <c r="CL155" s="29"/>
      <c r="CM155" s="29">
        <v>0</v>
      </c>
      <c r="CN155" s="29"/>
      <c r="CO155" s="29">
        <v>0</v>
      </c>
      <c r="CP155" s="29">
        <v>0</v>
      </c>
      <c r="CQ155" s="29">
        <v>0</v>
      </c>
      <c r="CR155" s="29">
        <v>0</v>
      </c>
      <c r="CS155" s="29">
        <v>0</v>
      </c>
      <c r="CT155" s="29">
        <v>0</v>
      </c>
      <c r="CU155" s="29">
        <v>0</v>
      </c>
      <c r="CV155" s="29">
        <v>9999</v>
      </c>
      <c r="CW155" s="33">
        <v>9999</v>
      </c>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row>
    <row r="156" spans="1:131">
      <c r="A156" s="7" t="s">
        <v>487</v>
      </c>
      <c r="B156" s="7" t="s">
        <v>356</v>
      </c>
      <c r="C156" s="29">
        <v>13</v>
      </c>
      <c r="D156" s="29">
        <v>1256.8936915400509</v>
      </c>
      <c r="E156" s="29">
        <v>0</v>
      </c>
      <c r="F156" s="29">
        <v>724.5875237038573</v>
      </c>
      <c r="G156" s="29">
        <v>0</v>
      </c>
      <c r="H156" s="29">
        <v>0</v>
      </c>
      <c r="I156" s="29" t="s">
        <v>569</v>
      </c>
      <c r="J156" s="29"/>
      <c r="K156" s="29"/>
      <c r="L156" s="29">
        <v>1349.5972615410149</v>
      </c>
      <c r="M156" s="29">
        <v>0.30033181865349817</v>
      </c>
      <c r="N156" s="29">
        <v>0.29816415826833259</v>
      </c>
      <c r="O156" s="29">
        <v>0</v>
      </c>
      <c r="P156" s="29">
        <v>0</v>
      </c>
      <c r="Q156" s="29">
        <v>0</v>
      </c>
      <c r="R156" s="29">
        <v>144.49243163055851</v>
      </c>
      <c r="S156" s="29">
        <v>333.90003232343054</v>
      </c>
      <c r="T156" s="29">
        <v>0</v>
      </c>
      <c r="U156" s="29">
        <v>524.46844781047821</v>
      </c>
      <c r="V156" s="29" t="s">
        <v>345</v>
      </c>
      <c r="W156" s="29" t="s">
        <v>345</v>
      </c>
      <c r="X156" s="29" t="s">
        <v>345</v>
      </c>
      <c r="Y156" s="29" t="s">
        <v>345</v>
      </c>
      <c r="Z156" s="29">
        <v>0</v>
      </c>
      <c r="AA156" s="29">
        <v>0</v>
      </c>
      <c r="AB156" s="29">
        <v>0</v>
      </c>
      <c r="AC156" s="29">
        <v>0</v>
      </c>
      <c r="AD156" s="29">
        <v>0</v>
      </c>
      <c r="AE156" s="29">
        <v>0</v>
      </c>
      <c r="AF156" s="29">
        <v>0</v>
      </c>
      <c r="AG156" s="29">
        <v>0</v>
      </c>
      <c r="AH156" s="29">
        <v>144.49243163055851</v>
      </c>
      <c r="AI156" s="29">
        <v>333.90003232343054</v>
      </c>
      <c r="AJ156" s="29">
        <v>0</v>
      </c>
      <c r="AK156" s="29">
        <v>524.46844781047821</v>
      </c>
      <c r="AL156" s="29">
        <v>1002.8609117644672</v>
      </c>
      <c r="AM156" s="29">
        <v>693.19773739184006</v>
      </c>
      <c r="AN156" s="29">
        <v>106.121793109246</v>
      </c>
      <c r="AO156" s="29">
        <v>0</v>
      </c>
      <c r="AP156" s="29">
        <v>0</v>
      </c>
      <c r="AQ156" s="29">
        <v>799.31953050108609</v>
      </c>
      <c r="AR156" s="29">
        <v>144.49243163055851</v>
      </c>
      <c r="AS156" s="33">
        <v>5.5319127893480555</v>
      </c>
      <c r="AT156" s="29">
        <v>693.19773739184006</v>
      </c>
      <c r="AU156" s="29">
        <v>125.61659467241626</v>
      </c>
      <c r="AV156" s="29">
        <v>0</v>
      </c>
      <c r="AW156" s="29">
        <v>0</v>
      </c>
      <c r="AX156" s="29">
        <v>818.81433206425629</v>
      </c>
      <c r="AY156" s="29">
        <v>333.90003232343054</v>
      </c>
      <c r="AZ156" s="33">
        <v>2.4522738927773329</v>
      </c>
      <c r="BA156" s="29">
        <v>693.19773739184006</v>
      </c>
      <c r="BB156" s="29">
        <v>231.73838778166225</v>
      </c>
      <c r="BC156" s="29">
        <v>0</v>
      </c>
      <c r="BD156" s="29">
        <v>0</v>
      </c>
      <c r="BE156" s="29">
        <v>924.93612517350232</v>
      </c>
      <c r="BF156" s="29">
        <v>478.39246395398902</v>
      </c>
      <c r="BG156" s="29">
        <v>13.447892321393233</v>
      </c>
      <c r="BH156" s="33">
        <v>1.9334253669649384</v>
      </c>
      <c r="BI156" s="29">
        <v>7.8779101970585304</v>
      </c>
      <c r="BJ156" s="29">
        <v>18.204652242025244</v>
      </c>
      <c r="BK156" s="29">
        <v>0</v>
      </c>
      <c r="BL156" s="29">
        <v>28.594683378335606</v>
      </c>
      <c r="BM156" s="29">
        <v>54.677245817419383</v>
      </c>
      <c r="BN156" s="29">
        <v>693.19773739184006</v>
      </c>
      <c r="BO156" s="29">
        <v>0</v>
      </c>
      <c r="BP156" s="29">
        <v>231.73838778166225</v>
      </c>
      <c r="BQ156" s="29">
        <v>0</v>
      </c>
      <c r="BR156" s="29">
        <v>0</v>
      </c>
      <c r="BS156" s="29">
        <v>0</v>
      </c>
      <c r="BT156" s="29">
        <v>0</v>
      </c>
      <c r="BU156" s="29">
        <v>0</v>
      </c>
      <c r="BV156" s="29">
        <v>-25.645180344820165</v>
      </c>
      <c r="BW156" s="29">
        <v>0</v>
      </c>
      <c r="BX156" s="29">
        <v>1002.8609117644672</v>
      </c>
      <c r="BY156" s="29"/>
      <c r="BZ156" s="29">
        <v>0</v>
      </c>
      <c r="CA156" s="29">
        <v>0</v>
      </c>
      <c r="CB156" s="29">
        <v>899.2909448286822</v>
      </c>
      <c r="CC156" s="29">
        <v>1002.8609117644672</v>
      </c>
      <c r="CD156" s="107">
        <v>0.89930058000591795</v>
      </c>
      <c r="CE156" s="29">
        <v>43.44078338067105</v>
      </c>
      <c r="CF156" s="29">
        <v>12.821327542237693</v>
      </c>
      <c r="CG156" s="29">
        <v>0</v>
      </c>
      <c r="CH156" s="29">
        <v>12.821327542237693</v>
      </c>
      <c r="CI156" s="29">
        <v>0.64105869923198189</v>
      </c>
      <c r="CJ156" s="29">
        <v>0</v>
      </c>
      <c r="CK156" s="29">
        <v>0.64105869923198189</v>
      </c>
      <c r="CL156" s="29"/>
      <c r="CM156" s="29">
        <v>0</v>
      </c>
      <c r="CN156" s="29"/>
      <c r="CO156" s="29">
        <v>0</v>
      </c>
      <c r="CP156" s="29">
        <v>0</v>
      </c>
      <c r="CQ156" s="29">
        <v>0</v>
      </c>
      <c r="CR156" s="29">
        <v>0</v>
      </c>
      <c r="CS156" s="29">
        <v>0</v>
      </c>
      <c r="CT156" s="29">
        <v>0</v>
      </c>
      <c r="CU156" s="29">
        <v>0</v>
      </c>
      <c r="CV156" s="29">
        <v>9999</v>
      </c>
      <c r="CW156" s="33">
        <v>9999</v>
      </c>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row>
    <row r="157" spans="1:131">
      <c r="A157" s="7" t="s">
        <v>487</v>
      </c>
      <c r="B157" s="7" t="s">
        <v>357</v>
      </c>
      <c r="C157" s="29">
        <v>13</v>
      </c>
      <c r="D157" s="29">
        <v>-187.24934071395714</v>
      </c>
      <c r="E157" s="29">
        <v>-0.31773482851790352</v>
      </c>
      <c r="F157" s="29">
        <v>0</v>
      </c>
      <c r="G157" s="29">
        <v>0</v>
      </c>
      <c r="H157" s="29">
        <v>0</v>
      </c>
      <c r="I157" s="29" t="s">
        <v>552</v>
      </c>
      <c r="J157" s="29"/>
      <c r="K157" s="29"/>
      <c r="L157" s="29">
        <v>-200.68487325694775</v>
      </c>
      <c r="M157" s="29">
        <v>0</v>
      </c>
      <c r="N157" s="29">
        <v>0</v>
      </c>
      <c r="O157" s="29">
        <v>-0.3209121756075915</v>
      </c>
      <c r="P157" s="29">
        <v>0</v>
      </c>
      <c r="Q157" s="29">
        <v>0</v>
      </c>
      <c r="R157" s="29">
        <v>0</v>
      </c>
      <c r="S157" s="29">
        <v>0</v>
      </c>
      <c r="T157" s="29">
        <v>0</v>
      </c>
      <c r="U157" s="29">
        <v>0</v>
      </c>
      <c r="V157" s="29" t="s">
        <v>345</v>
      </c>
      <c r="W157" s="29" t="s">
        <v>345</v>
      </c>
      <c r="X157" s="29" t="s">
        <v>345</v>
      </c>
      <c r="Y157" s="29" t="s">
        <v>345</v>
      </c>
      <c r="Z157" s="29">
        <v>0</v>
      </c>
      <c r="AA157" s="29">
        <v>0</v>
      </c>
      <c r="AB157" s="29">
        <v>0</v>
      </c>
      <c r="AC157" s="29">
        <v>0</v>
      </c>
      <c r="AD157" s="29">
        <v>0</v>
      </c>
      <c r="AE157" s="29">
        <v>0</v>
      </c>
      <c r="AF157" s="29">
        <v>0</v>
      </c>
      <c r="AG157" s="29">
        <v>0</v>
      </c>
      <c r="AH157" s="29">
        <v>0</v>
      </c>
      <c r="AI157" s="29">
        <v>0</v>
      </c>
      <c r="AJ157" s="29">
        <v>0</v>
      </c>
      <c r="AK157" s="29">
        <v>0</v>
      </c>
      <c r="AL157" s="29">
        <v>0</v>
      </c>
      <c r="AM157" s="29">
        <v>-104.4866893728111</v>
      </c>
      <c r="AN157" s="29">
        <v>0</v>
      </c>
      <c r="AO157" s="29">
        <v>0</v>
      </c>
      <c r="AP157" s="29">
        <v>0</v>
      </c>
      <c r="AQ157" s="29">
        <v>-104.4866893728111</v>
      </c>
      <c r="AR157" s="29">
        <v>0</v>
      </c>
      <c r="AS157" s="107">
        <v>0</v>
      </c>
      <c r="AT157" s="29">
        <v>-104.4866893728111</v>
      </c>
      <c r="AU157" s="29">
        <v>0</v>
      </c>
      <c r="AV157" s="29">
        <v>0</v>
      </c>
      <c r="AW157" s="29">
        <v>0</v>
      </c>
      <c r="AX157" s="29">
        <v>-104.4866893728111</v>
      </c>
      <c r="AY157" s="29">
        <v>0</v>
      </c>
      <c r="AZ157" s="107">
        <v>0</v>
      </c>
      <c r="BA157" s="29">
        <v>-104.4866893728111</v>
      </c>
      <c r="BB157" s="29">
        <v>0</v>
      </c>
      <c r="BC157" s="29">
        <v>0</v>
      </c>
      <c r="BD157" s="29">
        <v>0</v>
      </c>
      <c r="BE157" s="29">
        <v>-104.4866893728111</v>
      </c>
      <c r="BF157" s="29">
        <v>0</v>
      </c>
      <c r="BG157" s="29">
        <v>9999</v>
      </c>
      <c r="BH157" s="107">
        <v>0</v>
      </c>
      <c r="BI157" s="29">
        <v>9999</v>
      </c>
      <c r="BJ157" s="29">
        <v>9999</v>
      </c>
      <c r="BK157" s="29">
        <v>9999</v>
      </c>
      <c r="BL157" s="29">
        <v>9999</v>
      </c>
      <c r="BM157" s="29">
        <v>9999</v>
      </c>
      <c r="BN157" s="29">
        <v>-104.4866893728111</v>
      </c>
      <c r="BO157" s="29">
        <v>-2.4579812716281322</v>
      </c>
      <c r="BP157" s="29">
        <v>0</v>
      </c>
      <c r="BQ157" s="29">
        <v>0</v>
      </c>
      <c r="BR157" s="29">
        <v>0</v>
      </c>
      <c r="BS157" s="29">
        <v>0</v>
      </c>
      <c r="BT157" s="29">
        <v>0</v>
      </c>
      <c r="BU157" s="29">
        <v>0</v>
      </c>
      <c r="BV157" s="29">
        <v>-25.645180344820165</v>
      </c>
      <c r="BW157" s="29">
        <v>0</v>
      </c>
      <c r="BX157" s="29">
        <v>0</v>
      </c>
      <c r="BY157" s="29"/>
      <c r="BZ157" s="29">
        <v>0</v>
      </c>
      <c r="CA157" s="29">
        <v>0</v>
      </c>
      <c r="CB157" s="29">
        <v>-132.58985098925942</v>
      </c>
      <c r="CC157" s="29">
        <v>0</v>
      </c>
      <c r="CD157" s="107">
        <v>0</v>
      </c>
      <c r="CE157" s="29">
        <v>9999</v>
      </c>
      <c r="CF157" s="29">
        <v>-1.9066259727105388</v>
      </c>
      <c r="CG157" s="29">
        <v>-3.7546724546088199E-2</v>
      </c>
      <c r="CH157" s="29">
        <v>-1.9441726972566269</v>
      </c>
      <c r="CI157" s="29">
        <v>-9.5325314797050156E-2</v>
      </c>
      <c r="CJ157" s="29">
        <v>-1.8773362273044104E-3</v>
      </c>
      <c r="CK157" s="29">
        <v>-9.7202651024354561E-2</v>
      </c>
      <c r="CL157" s="29"/>
      <c r="CM157" s="29">
        <v>-0.31773482851790352</v>
      </c>
      <c r="CN157" s="29" t="s">
        <v>553</v>
      </c>
      <c r="CO157" s="29">
        <v>0</v>
      </c>
      <c r="CP157" s="29">
        <v>0</v>
      </c>
      <c r="CQ157" s="29">
        <v>-2.4579812716281322</v>
      </c>
      <c r="CR157" s="29">
        <v>0</v>
      </c>
      <c r="CS157" s="29">
        <v>0</v>
      </c>
      <c r="CT157" s="29">
        <v>-2.4579812716281322</v>
      </c>
      <c r="CU157" s="29">
        <v>0</v>
      </c>
      <c r="CV157" s="29">
        <v>9999</v>
      </c>
      <c r="CW157" s="107">
        <v>0</v>
      </c>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row>
    <row r="158" spans="1:131">
      <c r="A158" s="7" t="s">
        <v>487</v>
      </c>
      <c r="B158" s="7" t="s">
        <v>359</v>
      </c>
      <c r="C158" s="29">
        <v>13</v>
      </c>
      <c r="D158" s="29">
        <v>31.160871390892524</v>
      </c>
      <c r="E158" s="29">
        <v>0</v>
      </c>
      <c r="F158" s="29">
        <v>0</v>
      </c>
      <c r="G158" s="29">
        <v>0</v>
      </c>
      <c r="H158" s="29">
        <v>0</v>
      </c>
      <c r="I158" s="29" t="s">
        <v>552</v>
      </c>
      <c r="J158" s="29"/>
      <c r="K158" s="29"/>
      <c r="L158" s="29">
        <v>33.396729205098836</v>
      </c>
      <c r="M158" s="29">
        <v>0</v>
      </c>
      <c r="N158" s="29">
        <v>0</v>
      </c>
      <c r="O158" s="29">
        <v>0</v>
      </c>
      <c r="P158" s="29">
        <v>0</v>
      </c>
      <c r="Q158" s="29">
        <v>0</v>
      </c>
      <c r="R158" s="29">
        <v>0</v>
      </c>
      <c r="S158" s="29">
        <v>0</v>
      </c>
      <c r="T158" s="29">
        <v>0</v>
      </c>
      <c r="U158" s="29">
        <v>0</v>
      </c>
      <c r="V158" s="29" t="s">
        <v>345</v>
      </c>
      <c r="W158" s="29" t="s">
        <v>345</v>
      </c>
      <c r="X158" s="29" t="s">
        <v>345</v>
      </c>
      <c r="Y158" s="29" t="s">
        <v>345</v>
      </c>
      <c r="Z158" s="29">
        <v>0</v>
      </c>
      <c r="AA158" s="29">
        <v>0</v>
      </c>
      <c r="AB158" s="29">
        <v>0</v>
      </c>
      <c r="AC158" s="29">
        <v>0</v>
      </c>
      <c r="AD158" s="29">
        <v>0</v>
      </c>
      <c r="AE158" s="29">
        <v>0</v>
      </c>
      <c r="AF158" s="29">
        <v>0</v>
      </c>
      <c r="AG158" s="29">
        <v>0</v>
      </c>
      <c r="AH158" s="29">
        <v>0</v>
      </c>
      <c r="AI158" s="29">
        <v>0</v>
      </c>
      <c r="AJ158" s="29">
        <v>0</v>
      </c>
      <c r="AK158" s="29">
        <v>0</v>
      </c>
      <c r="AL158" s="29">
        <v>0</v>
      </c>
      <c r="AM158" s="29">
        <v>17.388025384719636</v>
      </c>
      <c r="AN158" s="29">
        <v>0</v>
      </c>
      <c r="AO158" s="29">
        <v>0</v>
      </c>
      <c r="AP158" s="29">
        <v>0</v>
      </c>
      <c r="AQ158" s="29">
        <v>17.388025384719636</v>
      </c>
      <c r="AR158" s="29">
        <v>0</v>
      </c>
      <c r="AS158" s="33">
        <v>9999</v>
      </c>
      <c r="AT158" s="29">
        <v>17.388025384719636</v>
      </c>
      <c r="AU158" s="29">
        <v>0</v>
      </c>
      <c r="AV158" s="29">
        <v>0</v>
      </c>
      <c r="AW158" s="29">
        <v>0</v>
      </c>
      <c r="AX158" s="29">
        <v>17.388025384719636</v>
      </c>
      <c r="AY158" s="29">
        <v>0</v>
      </c>
      <c r="AZ158" s="33">
        <v>9999</v>
      </c>
      <c r="BA158" s="29">
        <v>17.388025384719636</v>
      </c>
      <c r="BB158" s="29">
        <v>0</v>
      </c>
      <c r="BC158" s="29">
        <v>0</v>
      </c>
      <c r="BD158" s="29">
        <v>0</v>
      </c>
      <c r="BE158" s="29">
        <v>17.388025384719636</v>
      </c>
      <c r="BF158" s="29">
        <v>0</v>
      </c>
      <c r="BG158" s="29">
        <v>0</v>
      </c>
      <c r="BH158" s="33">
        <v>9999</v>
      </c>
      <c r="BI158" s="29">
        <v>0</v>
      </c>
      <c r="BJ158" s="29">
        <v>0</v>
      </c>
      <c r="BK158" s="29">
        <v>0</v>
      </c>
      <c r="BL158" s="29">
        <v>0</v>
      </c>
      <c r="BM158" s="29">
        <v>0</v>
      </c>
      <c r="BN158" s="29">
        <v>17.388025384719636</v>
      </c>
      <c r="BO158" s="29">
        <v>0</v>
      </c>
      <c r="BP158" s="29">
        <v>0</v>
      </c>
      <c r="BQ158" s="29">
        <v>0</v>
      </c>
      <c r="BR158" s="29">
        <v>0</v>
      </c>
      <c r="BS158" s="29">
        <v>0</v>
      </c>
      <c r="BT158" s="29">
        <v>0</v>
      </c>
      <c r="BU158" s="29">
        <v>0</v>
      </c>
      <c r="BV158" s="29">
        <v>-25.645180344820165</v>
      </c>
      <c r="BW158" s="29">
        <v>0</v>
      </c>
      <c r="BX158" s="29">
        <v>0</v>
      </c>
      <c r="BY158" s="29"/>
      <c r="BZ158" s="29">
        <v>0</v>
      </c>
      <c r="CA158" s="29">
        <v>0</v>
      </c>
      <c r="CB158" s="29">
        <v>-8.2571549601005287</v>
      </c>
      <c r="CC158" s="29">
        <v>0</v>
      </c>
      <c r="CD158" s="107">
        <v>0.67802312757888972</v>
      </c>
      <c r="CE158" s="29">
        <v>56.503055903364256</v>
      </c>
      <c r="CF158" s="29">
        <v>0.31728884331254648</v>
      </c>
      <c r="CG158" s="29">
        <v>0</v>
      </c>
      <c r="CH158" s="29">
        <v>0.31728884331254648</v>
      </c>
      <c r="CI158" s="29">
        <v>1.5863446372421951E-2</v>
      </c>
      <c r="CJ158" s="29">
        <v>0</v>
      </c>
      <c r="CK158" s="29">
        <v>1.5863446372421951E-2</v>
      </c>
      <c r="CL158" s="29"/>
      <c r="CM158" s="29">
        <v>0</v>
      </c>
      <c r="CN158" s="29"/>
      <c r="CO158" s="29">
        <v>0</v>
      </c>
      <c r="CP158" s="29">
        <v>0</v>
      </c>
      <c r="CQ158" s="29">
        <v>0</v>
      </c>
      <c r="CR158" s="29">
        <v>0</v>
      </c>
      <c r="CS158" s="29">
        <v>0</v>
      </c>
      <c r="CT158" s="29">
        <v>0</v>
      </c>
      <c r="CU158" s="29">
        <v>0</v>
      </c>
      <c r="CV158" s="29">
        <v>9999</v>
      </c>
      <c r="CW158" s="33">
        <v>9999</v>
      </c>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row>
    <row r="159" spans="1:131">
      <c r="A159" s="7" t="s">
        <v>488</v>
      </c>
      <c r="B159" s="7" t="s">
        <v>356</v>
      </c>
      <c r="C159" s="29">
        <v>13</v>
      </c>
      <c r="D159" s="29">
        <v>1271.3178057500804</v>
      </c>
      <c r="E159" s="29">
        <v>0</v>
      </c>
      <c r="F159" s="29">
        <v>724.5875237038573</v>
      </c>
      <c r="G159" s="29">
        <v>0</v>
      </c>
      <c r="H159" s="29">
        <v>0</v>
      </c>
      <c r="I159" s="29" t="s">
        <v>569</v>
      </c>
      <c r="J159" s="29"/>
      <c r="K159" s="29"/>
      <c r="L159" s="29">
        <v>1365.0852420830752</v>
      </c>
      <c r="M159" s="29">
        <v>0.30377842713146419</v>
      </c>
      <c r="N159" s="29">
        <v>0.30158589067191405</v>
      </c>
      <c r="O159" s="29">
        <v>0</v>
      </c>
      <c r="P159" s="29">
        <v>0</v>
      </c>
      <c r="Q159" s="29">
        <v>0</v>
      </c>
      <c r="R159" s="29">
        <v>144.49243163055851</v>
      </c>
      <c r="S159" s="29">
        <v>333.90003232343054</v>
      </c>
      <c r="T159" s="29">
        <v>0</v>
      </c>
      <c r="U159" s="29">
        <v>524.46844781047821</v>
      </c>
      <c r="V159" s="29" t="s">
        <v>345</v>
      </c>
      <c r="W159" s="29" t="s">
        <v>345</v>
      </c>
      <c r="X159" s="29" t="s">
        <v>345</v>
      </c>
      <c r="Y159" s="29" t="s">
        <v>345</v>
      </c>
      <c r="Z159" s="29">
        <v>0</v>
      </c>
      <c r="AA159" s="29">
        <v>0</v>
      </c>
      <c r="AB159" s="29">
        <v>0</v>
      </c>
      <c r="AC159" s="29">
        <v>0</v>
      </c>
      <c r="AD159" s="29">
        <v>0</v>
      </c>
      <c r="AE159" s="29">
        <v>0</v>
      </c>
      <c r="AF159" s="29">
        <v>0</v>
      </c>
      <c r="AG159" s="29">
        <v>0</v>
      </c>
      <c r="AH159" s="29">
        <v>144.49243163055851</v>
      </c>
      <c r="AI159" s="29">
        <v>333.90003232343054</v>
      </c>
      <c r="AJ159" s="29">
        <v>0</v>
      </c>
      <c r="AK159" s="29">
        <v>524.46844781047821</v>
      </c>
      <c r="AL159" s="29">
        <v>1002.8609117644672</v>
      </c>
      <c r="AM159" s="29">
        <v>701.15287584274813</v>
      </c>
      <c r="AN159" s="29">
        <v>107.33964699321719</v>
      </c>
      <c r="AO159" s="29">
        <v>0</v>
      </c>
      <c r="AP159" s="29">
        <v>0</v>
      </c>
      <c r="AQ159" s="29">
        <v>808.49252283596536</v>
      </c>
      <c r="AR159" s="29">
        <v>144.49243163055851</v>
      </c>
      <c r="AS159" s="33">
        <v>5.5953970302274181</v>
      </c>
      <c r="AT159" s="29">
        <v>701.15287584274813</v>
      </c>
      <c r="AU159" s="29">
        <v>127.05817093334078</v>
      </c>
      <c r="AV159" s="29">
        <v>0</v>
      </c>
      <c r="AW159" s="29">
        <v>0</v>
      </c>
      <c r="AX159" s="29">
        <v>828.21104677608889</v>
      </c>
      <c r="AY159" s="29">
        <v>333.90003232343054</v>
      </c>
      <c r="AZ159" s="33">
        <v>2.4804161922747183</v>
      </c>
      <c r="BA159" s="29">
        <v>701.15287584274813</v>
      </c>
      <c r="BB159" s="29">
        <v>234.39781792655796</v>
      </c>
      <c r="BC159" s="29">
        <v>0</v>
      </c>
      <c r="BD159" s="29">
        <v>0</v>
      </c>
      <c r="BE159" s="29">
        <v>935.55069376930612</v>
      </c>
      <c r="BF159" s="29">
        <v>478.39246395398902</v>
      </c>
      <c r="BG159" s="29">
        <v>13.151964853210243</v>
      </c>
      <c r="BH159" s="33">
        <v>1.9556133598694936</v>
      </c>
      <c r="BI159" s="29">
        <v>7.788529024306305</v>
      </c>
      <c r="BJ159" s="29">
        <v>17.998105946594482</v>
      </c>
      <c r="BK159" s="29">
        <v>0</v>
      </c>
      <c r="BL159" s="29">
        <v>28.270253895020538</v>
      </c>
      <c r="BM159" s="29">
        <v>54.05688886592133</v>
      </c>
      <c r="BN159" s="29">
        <v>701.15287584274813</v>
      </c>
      <c r="BO159" s="29">
        <v>0</v>
      </c>
      <c r="BP159" s="29">
        <v>234.39781792655796</v>
      </c>
      <c r="BQ159" s="29">
        <v>0</v>
      </c>
      <c r="BR159" s="29">
        <v>0</v>
      </c>
      <c r="BS159" s="29">
        <v>0</v>
      </c>
      <c r="BT159" s="29">
        <v>0</v>
      </c>
      <c r="BU159" s="29">
        <v>0</v>
      </c>
      <c r="BV159" s="29">
        <v>-41.565936751168543</v>
      </c>
      <c r="BW159" s="29">
        <v>0</v>
      </c>
      <c r="BX159" s="29">
        <v>1002.8609117644672</v>
      </c>
      <c r="BY159" s="29"/>
      <c r="BZ159" s="29">
        <v>0</v>
      </c>
      <c r="CA159" s="29">
        <v>0</v>
      </c>
      <c r="CB159" s="29">
        <v>893.98475701813754</v>
      </c>
      <c r="CC159" s="29">
        <v>1002.8609117644672</v>
      </c>
      <c r="CD159" s="107">
        <v>0.89575511688437826</v>
      </c>
      <c r="CE159" s="29">
        <v>43.662734055196452</v>
      </c>
      <c r="CF159" s="29">
        <v>12.968465119614503</v>
      </c>
      <c r="CG159" s="29">
        <v>0</v>
      </c>
      <c r="CH159" s="29">
        <v>12.968465119614503</v>
      </c>
      <c r="CI159" s="29">
        <v>0.64841548998946041</v>
      </c>
      <c r="CJ159" s="29">
        <v>0</v>
      </c>
      <c r="CK159" s="29">
        <v>0.64841548998946041</v>
      </c>
      <c r="CL159" s="29"/>
      <c r="CM159" s="29">
        <v>0</v>
      </c>
      <c r="CN159" s="29"/>
      <c r="CO159" s="29">
        <v>0</v>
      </c>
      <c r="CP159" s="29">
        <v>0</v>
      </c>
      <c r="CQ159" s="29">
        <v>0</v>
      </c>
      <c r="CR159" s="29">
        <v>0</v>
      </c>
      <c r="CS159" s="29">
        <v>0</v>
      </c>
      <c r="CT159" s="29">
        <v>0</v>
      </c>
      <c r="CU159" s="29">
        <v>0</v>
      </c>
      <c r="CV159" s="29">
        <v>9999</v>
      </c>
      <c r="CW159" s="33">
        <v>9999</v>
      </c>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row>
    <row r="160" spans="1:131">
      <c r="A160" s="7" t="s">
        <v>488</v>
      </c>
      <c r="B160" s="7" t="s">
        <v>357</v>
      </c>
      <c r="C160" s="29">
        <v>13</v>
      </c>
      <c r="D160" s="29">
        <v>-303.10267342300324</v>
      </c>
      <c r="E160" s="29">
        <v>-0.55017463396988797</v>
      </c>
      <c r="F160" s="29">
        <v>0</v>
      </c>
      <c r="G160" s="29">
        <v>0</v>
      </c>
      <c r="H160" s="29">
        <v>0</v>
      </c>
      <c r="I160" s="29" t="s">
        <v>554</v>
      </c>
      <c r="J160" s="29"/>
      <c r="K160" s="29"/>
      <c r="L160" s="29">
        <v>-326.71074369460689</v>
      </c>
      <c r="M160" s="29">
        <v>-0.12169737417645991</v>
      </c>
      <c r="N160" s="29">
        <v>-0.12081901710406014</v>
      </c>
      <c r="O160" s="29">
        <v>-0.55567637836890937</v>
      </c>
      <c r="P160" s="29">
        <v>0</v>
      </c>
      <c r="Q160" s="29">
        <v>0</v>
      </c>
      <c r="R160" s="29">
        <v>0</v>
      </c>
      <c r="S160" s="29">
        <v>0</v>
      </c>
      <c r="T160" s="29">
        <v>0</v>
      </c>
      <c r="U160" s="29">
        <v>0</v>
      </c>
      <c r="V160" s="29" t="s">
        <v>345</v>
      </c>
      <c r="W160" s="29" t="s">
        <v>345</v>
      </c>
      <c r="X160" s="29" t="s">
        <v>345</v>
      </c>
      <c r="Y160" s="29" t="s">
        <v>345</v>
      </c>
      <c r="Z160" s="29">
        <v>0</v>
      </c>
      <c r="AA160" s="29">
        <v>0</v>
      </c>
      <c r="AB160" s="29">
        <v>0</v>
      </c>
      <c r="AC160" s="29">
        <v>0</v>
      </c>
      <c r="AD160" s="29">
        <v>0</v>
      </c>
      <c r="AE160" s="29">
        <v>0</v>
      </c>
      <c r="AF160" s="29">
        <v>0</v>
      </c>
      <c r="AG160" s="29">
        <v>0</v>
      </c>
      <c r="AH160" s="29">
        <v>0</v>
      </c>
      <c r="AI160" s="29">
        <v>0</v>
      </c>
      <c r="AJ160" s="29">
        <v>0</v>
      </c>
      <c r="AK160" s="29">
        <v>0</v>
      </c>
      <c r="AL160" s="29">
        <v>0</v>
      </c>
      <c r="AM160" s="29">
        <v>-170.16404346598154</v>
      </c>
      <c r="AN160" s="29">
        <v>-43.001582789977057</v>
      </c>
      <c r="AO160" s="29">
        <v>0</v>
      </c>
      <c r="AP160" s="29">
        <v>0</v>
      </c>
      <c r="AQ160" s="29">
        <v>-213.16562625595859</v>
      </c>
      <c r="AR160" s="29">
        <v>0</v>
      </c>
      <c r="AS160" s="107">
        <v>0</v>
      </c>
      <c r="AT160" s="29">
        <v>-170.16404346598154</v>
      </c>
      <c r="AU160" s="29">
        <v>-50.901066004794707</v>
      </c>
      <c r="AV160" s="29">
        <v>0</v>
      </c>
      <c r="AW160" s="29">
        <v>0</v>
      </c>
      <c r="AX160" s="29">
        <v>-221.06510947077624</v>
      </c>
      <c r="AY160" s="29">
        <v>0</v>
      </c>
      <c r="AZ160" s="107">
        <v>0</v>
      </c>
      <c r="BA160" s="29">
        <v>-170.16404346598154</v>
      </c>
      <c r="BB160" s="29">
        <v>-93.902648794771764</v>
      </c>
      <c r="BC160" s="29">
        <v>0</v>
      </c>
      <c r="BD160" s="29">
        <v>0</v>
      </c>
      <c r="BE160" s="29">
        <v>-264.06669226075331</v>
      </c>
      <c r="BF160" s="29">
        <v>0</v>
      </c>
      <c r="BG160" s="29">
        <v>9999</v>
      </c>
      <c r="BH160" s="107">
        <v>0</v>
      </c>
      <c r="BI160" s="29">
        <v>9999</v>
      </c>
      <c r="BJ160" s="29">
        <v>9999</v>
      </c>
      <c r="BK160" s="29">
        <v>9999</v>
      </c>
      <c r="BL160" s="29">
        <v>9999</v>
      </c>
      <c r="BM160" s="29">
        <v>9999</v>
      </c>
      <c r="BN160" s="29">
        <v>-170.16404346598154</v>
      </c>
      <c r="BO160" s="29">
        <v>-4.3101044737761951</v>
      </c>
      <c r="BP160" s="29">
        <v>-93.902648794771764</v>
      </c>
      <c r="BQ160" s="29">
        <v>0</v>
      </c>
      <c r="BR160" s="29">
        <v>0</v>
      </c>
      <c r="BS160" s="29">
        <v>0</v>
      </c>
      <c r="BT160" s="29">
        <v>0</v>
      </c>
      <c r="BU160" s="29">
        <v>0</v>
      </c>
      <c r="BV160" s="29">
        <v>-41.565936751168543</v>
      </c>
      <c r="BW160" s="29">
        <v>0</v>
      </c>
      <c r="BX160" s="29">
        <v>0</v>
      </c>
      <c r="BY160" s="29"/>
      <c r="BZ160" s="29">
        <v>0</v>
      </c>
      <c r="CA160" s="29">
        <v>0</v>
      </c>
      <c r="CB160" s="29">
        <v>-309.94273348569806</v>
      </c>
      <c r="CC160" s="29">
        <v>0</v>
      </c>
      <c r="CD160" s="107">
        <v>0</v>
      </c>
      <c r="CE160" s="29">
        <v>9999</v>
      </c>
      <c r="CF160" s="29">
        <v>-3.1037722980545306</v>
      </c>
      <c r="CG160" s="29">
        <v>-6.5014136269162442E-2</v>
      </c>
      <c r="CH160" s="29">
        <v>-3.1687864343236929</v>
      </c>
      <c r="CI160" s="29">
        <v>-0.15518760325493819</v>
      </c>
      <c r="CJ160" s="29">
        <v>-3.2507068134581202E-3</v>
      </c>
      <c r="CK160" s="29">
        <v>-0.15843831006839632</v>
      </c>
      <c r="CL160" s="29"/>
      <c r="CM160" s="29">
        <v>-0.55017463396988797</v>
      </c>
      <c r="CN160" s="29" t="s">
        <v>554</v>
      </c>
      <c r="CO160" s="29">
        <v>0</v>
      </c>
      <c r="CP160" s="29">
        <v>0</v>
      </c>
      <c r="CQ160" s="29">
        <v>-4.3101044737761951</v>
      </c>
      <c r="CR160" s="29">
        <v>0</v>
      </c>
      <c r="CS160" s="29">
        <v>0</v>
      </c>
      <c r="CT160" s="29">
        <v>-4.3101044737761951</v>
      </c>
      <c r="CU160" s="29">
        <v>0</v>
      </c>
      <c r="CV160" s="29">
        <v>9999</v>
      </c>
      <c r="CW160" s="107">
        <v>0</v>
      </c>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row>
    <row r="161" spans="1:131">
      <c r="A161" s="7" t="s">
        <v>488</v>
      </c>
      <c r="B161" s="7" t="s">
        <v>359</v>
      </c>
      <c r="C161" s="29">
        <v>13</v>
      </c>
      <c r="D161" s="29">
        <v>1.0000000000000001E-5</v>
      </c>
      <c r="E161" s="29">
        <v>0</v>
      </c>
      <c r="F161" s="29">
        <v>0</v>
      </c>
      <c r="G161" s="29">
        <v>0</v>
      </c>
      <c r="H161" s="29">
        <v>0</v>
      </c>
      <c r="I161" s="29" t="s">
        <v>552</v>
      </c>
      <c r="J161" s="29"/>
      <c r="K161" s="29"/>
      <c r="L161" s="29">
        <v>1.0717520953171996E-5</v>
      </c>
      <c r="M161" s="29">
        <v>0</v>
      </c>
      <c r="N161" s="29">
        <v>0</v>
      </c>
      <c r="O161" s="29">
        <v>0</v>
      </c>
      <c r="P161" s="29">
        <v>0</v>
      </c>
      <c r="Q161" s="29">
        <v>0</v>
      </c>
      <c r="R161" s="29">
        <v>0</v>
      </c>
      <c r="S161" s="29">
        <v>0</v>
      </c>
      <c r="T161" s="29">
        <v>0</v>
      </c>
      <c r="U161" s="29">
        <v>0</v>
      </c>
      <c r="V161" s="29" t="s">
        <v>345</v>
      </c>
      <c r="W161" s="29" t="s">
        <v>345</v>
      </c>
      <c r="X161" s="29" t="s">
        <v>345</v>
      </c>
      <c r="Y161" s="29" t="s">
        <v>345</v>
      </c>
      <c r="Z161" s="29">
        <v>0</v>
      </c>
      <c r="AA161" s="29">
        <v>0</v>
      </c>
      <c r="AB161" s="29">
        <v>0</v>
      </c>
      <c r="AC161" s="29">
        <v>0</v>
      </c>
      <c r="AD161" s="29">
        <v>0</v>
      </c>
      <c r="AE161" s="29">
        <v>0</v>
      </c>
      <c r="AF161" s="29">
        <v>0</v>
      </c>
      <c r="AG161" s="29">
        <v>0</v>
      </c>
      <c r="AH161" s="29">
        <v>0</v>
      </c>
      <c r="AI161" s="29">
        <v>0</v>
      </c>
      <c r="AJ161" s="29">
        <v>0</v>
      </c>
      <c r="AK161" s="29">
        <v>0</v>
      </c>
      <c r="AL161" s="29">
        <v>0</v>
      </c>
      <c r="AM161" s="29">
        <v>5.5800831647479789E-6</v>
      </c>
      <c r="AN161" s="29">
        <v>0</v>
      </c>
      <c r="AO161" s="29">
        <v>0</v>
      </c>
      <c r="AP161" s="29">
        <v>0</v>
      </c>
      <c r="AQ161" s="29">
        <v>5.5800831647479789E-6</v>
      </c>
      <c r="AR161" s="29">
        <v>0</v>
      </c>
      <c r="AS161" s="33">
        <v>9999</v>
      </c>
      <c r="AT161" s="29">
        <v>5.5800831647479789E-6</v>
      </c>
      <c r="AU161" s="29">
        <v>0</v>
      </c>
      <c r="AV161" s="29">
        <v>0</v>
      </c>
      <c r="AW161" s="29">
        <v>0</v>
      </c>
      <c r="AX161" s="29">
        <v>5.5800831647479789E-6</v>
      </c>
      <c r="AY161" s="29">
        <v>0</v>
      </c>
      <c r="AZ161" s="33">
        <v>9999</v>
      </c>
      <c r="BA161" s="29">
        <v>5.5800831647479789E-6</v>
      </c>
      <c r="BB161" s="29">
        <v>0</v>
      </c>
      <c r="BC161" s="29">
        <v>0</v>
      </c>
      <c r="BD161" s="29">
        <v>0</v>
      </c>
      <c r="BE161" s="29">
        <v>5.5800831647479789E-6</v>
      </c>
      <c r="BF161" s="29">
        <v>0</v>
      </c>
      <c r="BG161" s="29">
        <v>0</v>
      </c>
      <c r="BH161" s="33">
        <v>9999</v>
      </c>
      <c r="BI161" s="29">
        <v>0</v>
      </c>
      <c r="BJ161" s="29">
        <v>0</v>
      </c>
      <c r="BK161" s="29">
        <v>0</v>
      </c>
      <c r="BL161" s="29">
        <v>0</v>
      </c>
      <c r="BM161" s="29">
        <v>0</v>
      </c>
      <c r="BN161" s="29">
        <v>5.5800831647479789E-6</v>
      </c>
      <c r="BO161" s="29">
        <v>0</v>
      </c>
      <c r="BP161" s="29">
        <v>0</v>
      </c>
      <c r="BQ161" s="29">
        <v>0</v>
      </c>
      <c r="BR161" s="29">
        <v>0</v>
      </c>
      <c r="BS161" s="29">
        <v>0</v>
      </c>
      <c r="BT161" s="29">
        <v>0</v>
      </c>
      <c r="BU161" s="29">
        <v>0</v>
      </c>
      <c r="BV161" s="29">
        <v>-41.565936751168543</v>
      </c>
      <c r="BW161" s="29">
        <v>0</v>
      </c>
      <c r="BX161" s="29">
        <v>0</v>
      </c>
      <c r="BY161" s="29"/>
      <c r="BZ161" s="29">
        <v>0</v>
      </c>
      <c r="CA161" s="29">
        <v>0</v>
      </c>
      <c r="CB161" s="29">
        <v>-41.565931171085381</v>
      </c>
      <c r="CC161" s="29">
        <v>0</v>
      </c>
      <c r="CD161" s="107">
        <v>1.3424653937556469E-7</v>
      </c>
      <c r="CE161" s="29">
        <v>285373305.40929413</v>
      </c>
      <c r="CF161" s="29">
        <v>1.018228403603893E-7</v>
      </c>
      <c r="CG161" s="29">
        <v>0</v>
      </c>
      <c r="CH161" s="29">
        <v>1.018228403603893E-7</v>
      </c>
      <c r="CI161" s="29">
        <v>5.090822452756698E-9</v>
      </c>
      <c r="CJ161" s="29">
        <v>0</v>
      </c>
      <c r="CK161" s="29">
        <v>5.090822452756698E-9</v>
      </c>
      <c r="CL161" s="29"/>
      <c r="CM161" s="29">
        <v>0</v>
      </c>
      <c r="CN161" s="29"/>
      <c r="CO161" s="29">
        <v>0</v>
      </c>
      <c r="CP161" s="29">
        <v>0</v>
      </c>
      <c r="CQ161" s="29">
        <v>0</v>
      </c>
      <c r="CR161" s="29">
        <v>0</v>
      </c>
      <c r="CS161" s="29">
        <v>0</v>
      </c>
      <c r="CT161" s="29">
        <v>0</v>
      </c>
      <c r="CU161" s="29">
        <v>0</v>
      </c>
      <c r="CV161" s="29">
        <v>9999</v>
      </c>
      <c r="CW161" s="33">
        <v>9999</v>
      </c>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row>
    <row r="162" spans="1:131">
      <c r="A162" s="7" t="s">
        <v>496</v>
      </c>
      <c r="B162" s="7" t="s">
        <v>356</v>
      </c>
      <c r="C162" s="29">
        <v>13</v>
      </c>
      <c r="D162" s="29">
        <v>295.29410496999685</v>
      </c>
      <c r="E162" s="29">
        <v>0</v>
      </c>
      <c r="F162" s="29">
        <v>1183.5005381933265</v>
      </c>
      <c r="G162" s="29">
        <v>0</v>
      </c>
      <c r="H162" s="29">
        <v>0</v>
      </c>
      <c r="I162" s="29" t="s">
        <v>569</v>
      </c>
      <c r="J162" s="29"/>
      <c r="K162" s="29"/>
      <c r="L162" s="29">
        <v>317.07384490760143</v>
      </c>
      <c r="M162" s="29">
        <v>7.055983825858049E-2</v>
      </c>
      <c r="N162" s="29">
        <v>7.0050568988136386E-2</v>
      </c>
      <c r="O162" s="29">
        <v>0</v>
      </c>
      <c r="P162" s="29">
        <v>0</v>
      </c>
      <c r="Q162" s="29">
        <v>0</v>
      </c>
      <c r="R162" s="29">
        <v>236.00581711025961</v>
      </c>
      <c r="S162" s="29">
        <v>545.37354705966141</v>
      </c>
      <c r="T162" s="29">
        <v>0</v>
      </c>
      <c r="U162" s="29">
        <v>856.63728665414692</v>
      </c>
      <c r="V162" s="29" t="s">
        <v>345</v>
      </c>
      <c r="W162" s="29" t="s">
        <v>345</v>
      </c>
      <c r="X162" s="29" t="s">
        <v>345</v>
      </c>
      <c r="Y162" s="29" t="s">
        <v>345</v>
      </c>
      <c r="Z162" s="29">
        <v>0</v>
      </c>
      <c r="AA162" s="29">
        <v>0</v>
      </c>
      <c r="AB162" s="29">
        <v>0</v>
      </c>
      <c r="AC162" s="29">
        <v>0</v>
      </c>
      <c r="AD162" s="29">
        <v>0</v>
      </c>
      <c r="AE162" s="29">
        <v>0</v>
      </c>
      <c r="AF162" s="29">
        <v>0</v>
      </c>
      <c r="AG162" s="29">
        <v>0</v>
      </c>
      <c r="AH162" s="29">
        <v>236.00581711025961</v>
      </c>
      <c r="AI162" s="29">
        <v>545.37354705966141</v>
      </c>
      <c r="AJ162" s="29">
        <v>0</v>
      </c>
      <c r="AK162" s="29">
        <v>856.63728665414692</v>
      </c>
      <c r="AL162" s="29">
        <v>1638.0166508240679</v>
      </c>
      <c r="AM162" s="29">
        <v>162.85960125994291</v>
      </c>
      <c r="AN162" s="29">
        <v>24.932211948338374</v>
      </c>
      <c r="AO162" s="29">
        <v>0</v>
      </c>
      <c r="AP162" s="29">
        <v>0</v>
      </c>
      <c r="AQ162" s="29">
        <v>187.79181320828127</v>
      </c>
      <c r="AR162" s="29">
        <v>236.00581711025961</v>
      </c>
      <c r="AS162" s="107">
        <v>0.7957084088336126</v>
      </c>
      <c r="AT162" s="29">
        <v>162.85960125994291</v>
      </c>
      <c r="AU162" s="29">
        <v>29.51231288918283</v>
      </c>
      <c r="AV162" s="29">
        <v>0</v>
      </c>
      <c r="AW162" s="29">
        <v>0</v>
      </c>
      <c r="AX162" s="29">
        <v>192.37191414912573</v>
      </c>
      <c r="AY162" s="29">
        <v>545.37354705966141</v>
      </c>
      <c r="AZ162" s="107">
        <v>0.35273422260079129</v>
      </c>
      <c r="BA162" s="29">
        <v>162.85960125994291</v>
      </c>
      <c r="BB162" s="29">
        <v>54.4445248375212</v>
      </c>
      <c r="BC162" s="29">
        <v>0</v>
      </c>
      <c r="BD162" s="29">
        <v>0</v>
      </c>
      <c r="BE162" s="29">
        <v>217.30412609746409</v>
      </c>
      <c r="BF162" s="29">
        <v>781.37936416992102</v>
      </c>
      <c r="BG162" s="29">
        <v>168.69615300033925</v>
      </c>
      <c r="BH162" s="107">
        <v>0.27810323136484638</v>
      </c>
      <c r="BI162" s="29">
        <v>54.768696282002423</v>
      </c>
      <c r="BJ162" s="29">
        <v>126.56212683602733</v>
      </c>
      <c r="BK162" s="29">
        <v>0</v>
      </c>
      <c r="BL162" s="29">
        <v>198.79555491922684</v>
      </c>
      <c r="BM162" s="29">
        <v>380.12637803725659</v>
      </c>
      <c r="BN162" s="29">
        <v>162.85960125994291</v>
      </c>
      <c r="BO162" s="29">
        <v>0</v>
      </c>
      <c r="BP162" s="29">
        <v>54.4445248375212</v>
      </c>
      <c r="BQ162" s="29">
        <v>0</v>
      </c>
      <c r="BR162" s="29">
        <v>0</v>
      </c>
      <c r="BS162" s="29">
        <v>0</v>
      </c>
      <c r="BT162" s="29">
        <v>0</v>
      </c>
      <c r="BU162" s="29">
        <v>0</v>
      </c>
      <c r="BV162" s="29">
        <v>0</v>
      </c>
      <c r="BW162" s="29">
        <v>0</v>
      </c>
      <c r="BX162" s="29">
        <v>1638.0166508240679</v>
      </c>
      <c r="BY162" s="29"/>
      <c r="BZ162" s="29">
        <v>0</v>
      </c>
      <c r="CA162" s="29">
        <v>0</v>
      </c>
      <c r="CB162" s="29">
        <v>217.30412609746409</v>
      </c>
      <c r="CC162" s="29">
        <v>1638.0166508240679</v>
      </c>
      <c r="CD162" s="107">
        <v>0.13266295308301096</v>
      </c>
      <c r="CE162" s="29">
        <v>367.49170791956607</v>
      </c>
      <c r="CF162" s="29">
        <v>3.01223760338334</v>
      </c>
      <c r="CG162" s="29">
        <v>0</v>
      </c>
      <c r="CH162" s="29">
        <v>3.01223760338334</v>
      </c>
      <c r="CI162" s="29">
        <v>0.15061007633111068</v>
      </c>
      <c r="CJ162" s="29">
        <v>0</v>
      </c>
      <c r="CK162" s="29">
        <v>0.15061007633111068</v>
      </c>
      <c r="CL162" s="29"/>
      <c r="CM162" s="29">
        <v>0</v>
      </c>
      <c r="CN162" s="29"/>
      <c r="CO162" s="29">
        <v>0</v>
      </c>
      <c r="CP162" s="29">
        <v>0</v>
      </c>
      <c r="CQ162" s="29">
        <v>0</v>
      </c>
      <c r="CR162" s="29">
        <v>0</v>
      </c>
      <c r="CS162" s="29">
        <v>0</v>
      </c>
      <c r="CT162" s="29">
        <v>0</v>
      </c>
      <c r="CU162" s="29">
        <v>0</v>
      </c>
      <c r="CV162" s="29">
        <v>9999</v>
      </c>
      <c r="CW162" s="33">
        <v>9999</v>
      </c>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row>
    <row r="163" spans="1:131">
      <c r="A163" s="7" t="s">
        <v>496</v>
      </c>
      <c r="B163" s="7" t="s">
        <v>357</v>
      </c>
      <c r="C163" s="29">
        <v>13</v>
      </c>
      <c r="D163" s="29">
        <v>1.0000000000000001E-5</v>
      </c>
      <c r="E163" s="29">
        <v>0</v>
      </c>
      <c r="F163" s="29">
        <v>0</v>
      </c>
      <c r="G163" s="29">
        <v>0</v>
      </c>
      <c r="H163" s="29">
        <v>0</v>
      </c>
      <c r="I163" s="29" t="s">
        <v>551</v>
      </c>
      <c r="J163" s="29"/>
      <c r="K163" s="29"/>
      <c r="L163" s="29">
        <v>1.0783807742739335E-5</v>
      </c>
      <c r="M163" s="29">
        <v>5.6390564814433171E-9</v>
      </c>
      <c r="N163" s="29">
        <v>5.5983563005589244E-9</v>
      </c>
      <c r="O163" s="29">
        <v>0</v>
      </c>
      <c r="P163" s="29">
        <v>0</v>
      </c>
      <c r="Q163" s="29">
        <v>0</v>
      </c>
      <c r="R163" s="29">
        <v>0</v>
      </c>
      <c r="S163" s="29">
        <v>0</v>
      </c>
      <c r="T163" s="29">
        <v>0</v>
      </c>
      <c r="U163" s="29">
        <v>0</v>
      </c>
      <c r="V163" s="29" t="s">
        <v>345</v>
      </c>
      <c r="W163" s="29" t="s">
        <v>345</v>
      </c>
      <c r="X163" s="29" t="s">
        <v>345</v>
      </c>
      <c r="Y163" s="29" t="s">
        <v>345</v>
      </c>
      <c r="Z163" s="29">
        <v>0</v>
      </c>
      <c r="AA163" s="29">
        <v>0</v>
      </c>
      <c r="AB163" s="29">
        <v>0</v>
      </c>
      <c r="AC163" s="29">
        <v>0</v>
      </c>
      <c r="AD163" s="29">
        <v>0</v>
      </c>
      <c r="AE163" s="29">
        <v>0</v>
      </c>
      <c r="AF163" s="29">
        <v>0</v>
      </c>
      <c r="AG163" s="29">
        <v>0</v>
      </c>
      <c r="AH163" s="29">
        <v>0</v>
      </c>
      <c r="AI163" s="29">
        <v>0</v>
      </c>
      <c r="AJ163" s="29">
        <v>0</v>
      </c>
      <c r="AK163" s="29">
        <v>0</v>
      </c>
      <c r="AL163" s="29">
        <v>0</v>
      </c>
      <c r="AM163" s="29">
        <v>5.6801225748169201E-6</v>
      </c>
      <c r="AN163" s="29">
        <v>1.9925520643735169E-6</v>
      </c>
      <c r="AO163" s="29">
        <v>0</v>
      </c>
      <c r="AP163" s="29">
        <v>0</v>
      </c>
      <c r="AQ163" s="29">
        <v>7.6726746391904361E-6</v>
      </c>
      <c r="AR163" s="29">
        <v>0</v>
      </c>
      <c r="AS163" s="33">
        <v>9999</v>
      </c>
      <c r="AT163" s="29">
        <v>5.6801225748169201E-6</v>
      </c>
      <c r="AU163" s="29">
        <v>2.3585881627200549E-6</v>
      </c>
      <c r="AV163" s="29">
        <v>0</v>
      </c>
      <c r="AW163" s="29">
        <v>0</v>
      </c>
      <c r="AX163" s="29">
        <v>8.0387107375369749E-6</v>
      </c>
      <c r="AY163" s="29">
        <v>0</v>
      </c>
      <c r="AZ163" s="33">
        <v>9999</v>
      </c>
      <c r="BA163" s="29">
        <v>5.6801225748169201E-6</v>
      </c>
      <c r="BB163" s="29">
        <v>4.3511402270935718E-6</v>
      </c>
      <c r="BC163" s="29">
        <v>0</v>
      </c>
      <c r="BD163" s="29">
        <v>0</v>
      </c>
      <c r="BE163" s="29">
        <v>1.0031262801910492E-5</v>
      </c>
      <c r="BF163" s="29">
        <v>0</v>
      </c>
      <c r="BG163" s="29">
        <v>-29.689375169954904</v>
      </c>
      <c r="BH163" s="33">
        <v>9999</v>
      </c>
      <c r="BI163" s="29">
        <v>0</v>
      </c>
      <c r="BJ163" s="29">
        <v>0</v>
      </c>
      <c r="BK163" s="29">
        <v>0</v>
      </c>
      <c r="BL163" s="29">
        <v>0</v>
      </c>
      <c r="BM163" s="29">
        <v>0</v>
      </c>
      <c r="BN163" s="29">
        <v>5.6801225748169201E-6</v>
      </c>
      <c r="BO163" s="29">
        <v>0</v>
      </c>
      <c r="BP163" s="29">
        <v>4.3511402270935718E-6</v>
      </c>
      <c r="BQ163" s="29">
        <v>0</v>
      </c>
      <c r="BR163" s="29">
        <v>0</v>
      </c>
      <c r="BS163" s="29">
        <v>0</v>
      </c>
      <c r="BT163" s="29">
        <v>0</v>
      </c>
      <c r="BU163" s="29">
        <v>0</v>
      </c>
      <c r="BV163" s="29">
        <v>0</v>
      </c>
      <c r="BW163" s="29">
        <v>0</v>
      </c>
      <c r="BX163" s="29">
        <v>0</v>
      </c>
      <c r="BY163" s="29"/>
      <c r="BZ163" s="29">
        <v>0</v>
      </c>
      <c r="CA163" s="29">
        <v>0</v>
      </c>
      <c r="CB163" s="29">
        <v>1.0031262801910492E-5</v>
      </c>
      <c r="CC163" s="29">
        <v>0</v>
      </c>
      <c r="CD163" s="33">
        <v>9999</v>
      </c>
      <c r="CE163" s="29">
        <v>-29.689375169954904</v>
      </c>
      <c r="CF163" s="29">
        <v>1.0244682707561345E-7</v>
      </c>
      <c r="CG163" s="29">
        <v>0</v>
      </c>
      <c r="CH163" s="29">
        <v>1.0244682707561345E-7</v>
      </c>
      <c r="CI163" s="29">
        <v>5.1223086778011841E-9</v>
      </c>
      <c r="CJ163" s="29">
        <v>0</v>
      </c>
      <c r="CK163" s="29">
        <v>5.1223086778011841E-9</v>
      </c>
      <c r="CL163" s="29"/>
      <c r="CM163" s="29">
        <v>0</v>
      </c>
      <c r="CN163" s="29"/>
      <c r="CO163" s="29">
        <v>0</v>
      </c>
      <c r="CP163" s="29">
        <v>0</v>
      </c>
      <c r="CQ163" s="29">
        <v>0</v>
      </c>
      <c r="CR163" s="29">
        <v>0</v>
      </c>
      <c r="CS163" s="29">
        <v>0</v>
      </c>
      <c r="CT163" s="29">
        <v>0</v>
      </c>
      <c r="CU163" s="29">
        <v>0</v>
      </c>
      <c r="CV163" s="29">
        <v>9999</v>
      </c>
      <c r="CW163" s="33">
        <v>9999</v>
      </c>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row>
    <row r="164" spans="1:131">
      <c r="A164" s="7" t="s">
        <v>496</v>
      </c>
      <c r="B164" s="7" t="s">
        <v>359</v>
      </c>
      <c r="C164" s="29">
        <v>13</v>
      </c>
      <c r="D164" s="29">
        <v>1.0000000000000001E-5</v>
      </c>
      <c r="E164" s="29">
        <v>0</v>
      </c>
      <c r="F164" s="29">
        <v>0</v>
      </c>
      <c r="G164" s="29">
        <v>0</v>
      </c>
      <c r="H164" s="29">
        <v>0</v>
      </c>
      <c r="I164" s="29" t="s">
        <v>552</v>
      </c>
      <c r="J164" s="29"/>
      <c r="K164" s="29"/>
      <c r="L164" s="29">
        <v>1.0717520953171996E-5</v>
      </c>
      <c r="M164" s="29">
        <v>0</v>
      </c>
      <c r="N164" s="29">
        <v>0</v>
      </c>
      <c r="O164" s="29">
        <v>0</v>
      </c>
      <c r="P164" s="29">
        <v>0</v>
      </c>
      <c r="Q164" s="29">
        <v>0</v>
      </c>
      <c r="R164" s="29">
        <v>0</v>
      </c>
      <c r="S164" s="29">
        <v>0</v>
      </c>
      <c r="T164" s="29">
        <v>0</v>
      </c>
      <c r="U164" s="29">
        <v>0</v>
      </c>
      <c r="V164" s="29" t="s">
        <v>345</v>
      </c>
      <c r="W164" s="29" t="s">
        <v>345</v>
      </c>
      <c r="X164" s="29" t="s">
        <v>345</v>
      </c>
      <c r="Y164" s="29" t="s">
        <v>345</v>
      </c>
      <c r="Z164" s="29">
        <v>0</v>
      </c>
      <c r="AA164" s="29">
        <v>0</v>
      </c>
      <c r="AB164" s="29">
        <v>0</v>
      </c>
      <c r="AC164" s="29">
        <v>0</v>
      </c>
      <c r="AD164" s="29">
        <v>0</v>
      </c>
      <c r="AE164" s="29">
        <v>0</v>
      </c>
      <c r="AF164" s="29">
        <v>0</v>
      </c>
      <c r="AG164" s="29">
        <v>0</v>
      </c>
      <c r="AH164" s="29">
        <v>0</v>
      </c>
      <c r="AI164" s="29">
        <v>0</v>
      </c>
      <c r="AJ164" s="29">
        <v>0</v>
      </c>
      <c r="AK164" s="29">
        <v>0</v>
      </c>
      <c r="AL164" s="29">
        <v>0</v>
      </c>
      <c r="AM164" s="29">
        <v>5.5800831647479789E-6</v>
      </c>
      <c r="AN164" s="29">
        <v>0</v>
      </c>
      <c r="AO164" s="29">
        <v>0</v>
      </c>
      <c r="AP164" s="29">
        <v>0</v>
      </c>
      <c r="AQ164" s="29">
        <v>5.5800831647479789E-6</v>
      </c>
      <c r="AR164" s="29">
        <v>0</v>
      </c>
      <c r="AS164" s="33">
        <v>9999</v>
      </c>
      <c r="AT164" s="29">
        <v>5.5800831647479789E-6</v>
      </c>
      <c r="AU164" s="29">
        <v>0</v>
      </c>
      <c r="AV164" s="29">
        <v>0</v>
      </c>
      <c r="AW164" s="29">
        <v>0</v>
      </c>
      <c r="AX164" s="29">
        <v>5.5800831647479789E-6</v>
      </c>
      <c r="AY164" s="29">
        <v>0</v>
      </c>
      <c r="AZ164" s="33">
        <v>9999</v>
      </c>
      <c r="BA164" s="29">
        <v>5.5800831647479789E-6</v>
      </c>
      <c r="BB164" s="29">
        <v>0</v>
      </c>
      <c r="BC164" s="29">
        <v>0</v>
      </c>
      <c r="BD164" s="29">
        <v>0</v>
      </c>
      <c r="BE164" s="29">
        <v>5.5800831647479789E-6</v>
      </c>
      <c r="BF164" s="29">
        <v>0</v>
      </c>
      <c r="BG164" s="29">
        <v>0</v>
      </c>
      <c r="BH164" s="33">
        <v>9999</v>
      </c>
      <c r="BI164" s="29">
        <v>0</v>
      </c>
      <c r="BJ164" s="29">
        <v>0</v>
      </c>
      <c r="BK164" s="29">
        <v>0</v>
      </c>
      <c r="BL164" s="29">
        <v>0</v>
      </c>
      <c r="BM164" s="29">
        <v>0</v>
      </c>
      <c r="BN164" s="29">
        <v>5.5800831647479789E-6</v>
      </c>
      <c r="BO164" s="29">
        <v>0</v>
      </c>
      <c r="BP164" s="29">
        <v>0</v>
      </c>
      <c r="BQ164" s="29">
        <v>0</v>
      </c>
      <c r="BR164" s="29">
        <v>0</v>
      </c>
      <c r="BS164" s="29">
        <v>0</v>
      </c>
      <c r="BT164" s="29">
        <v>0</v>
      </c>
      <c r="BU164" s="29">
        <v>0</v>
      </c>
      <c r="BV164" s="29">
        <v>0</v>
      </c>
      <c r="BW164" s="29">
        <v>0</v>
      </c>
      <c r="BX164" s="29">
        <v>0</v>
      </c>
      <c r="BY164" s="29"/>
      <c r="BZ164" s="29">
        <v>0</v>
      </c>
      <c r="CA164" s="29">
        <v>0</v>
      </c>
      <c r="CB164" s="29">
        <v>5.5800831647479789E-6</v>
      </c>
      <c r="CC164" s="29">
        <v>0</v>
      </c>
      <c r="CD164" s="33">
        <v>9999</v>
      </c>
      <c r="CE164" s="29">
        <v>0</v>
      </c>
      <c r="CF164" s="29">
        <v>1.018228403603893E-7</v>
      </c>
      <c r="CG164" s="29">
        <v>0</v>
      </c>
      <c r="CH164" s="29">
        <v>1.018228403603893E-7</v>
      </c>
      <c r="CI164" s="29">
        <v>5.090822452756698E-9</v>
      </c>
      <c r="CJ164" s="29">
        <v>0</v>
      </c>
      <c r="CK164" s="29">
        <v>5.090822452756698E-9</v>
      </c>
      <c r="CL164" s="29"/>
      <c r="CM164" s="29">
        <v>0</v>
      </c>
      <c r="CN164" s="29"/>
      <c r="CO164" s="29">
        <v>0</v>
      </c>
      <c r="CP164" s="29">
        <v>0</v>
      </c>
      <c r="CQ164" s="29">
        <v>0</v>
      </c>
      <c r="CR164" s="29">
        <v>0</v>
      </c>
      <c r="CS164" s="29">
        <v>0</v>
      </c>
      <c r="CT164" s="29">
        <v>0</v>
      </c>
      <c r="CU164" s="29">
        <v>0</v>
      </c>
      <c r="CV164" s="29">
        <v>9999</v>
      </c>
      <c r="CW164" s="33">
        <v>9999</v>
      </c>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row>
    <row r="165" spans="1:131">
      <c r="A165" s="7" t="s">
        <v>489</v>
      </c>
      <c r="B165" s="7" t="s">
        <v>356</v>
      </c>
      <c r="C165" s="29">
        <v>13</v>
      </c>
      <c r="D165" s="29">
        <v>83.314555641672925</v>
      </c>
      <c r="E165" s="29">
        <v>0</v>
      </c>
      <c r="F165" s="29">
        <v>1183.5005381933265</v>
      </c>
      <c r="G165" s="29">
        <v>0</v>
      </c>
      <c r="H165" s="29">
        <v>0</v>
      </c>
      <c r="I165" s="29" t="s">
        <v>569</v>
      </c>
      <c r="J165" s="29"/>
      <c r="K165" s="29"/>
      <c r="L165" s="29">
        <v>89.459511888182121</v>
      </c>
      <c r="M165" s="29">
        <v>1.9907818922627132E-2</v>
      </c>
      <c r="N165" s="29">
        <v>1.976413321317716E-2</v>
      </c>
      <c r="O165" s="29">
        <v>0</v>
      </c>
      <c r="P165" s="29">
        <v>0</v>
      </c>
      <c r="Q165" s="29">
        <v>0</v>
      </c>
      <c r="R165" s="29">
        <v>236.00581711025961</v>
      </c>
      <c r="S165" s="29">
        <v>545.37354705966141</v>
      </c>
      <c r="T165" s="29">
        <v>0</v>
      </c>
      <c r="U165" s="29">
        <v>856.63728665414692</v>
      </c>
      <c r="V165" s="29" t="s">
        <v>345</v>
      </c>
      <c r="W165" s="29" t="s">
        <v>345</v>
      </c>
      <c r="X165" s="29" t="s">
        <v>345</v>
      </c>
      <c r="Y165" s="29" t="s">
        <v>345</v>
      </c>
      <c r="Z165" s="29">
        <v>0</v>
      </c>
      <c r="AA165" s="29">
        <v>0</v>
      </c>
      <c r="AB165" s="29">
        <v>0</v>
      </c>
      <c r="AC165" s="29">
        <v>0</v>
      </c>
      <c r="AD165" s="29">
        <v>0</v>
      </c>
      <c r="AE165" s="29">
        <v>0</v>
      </c>
      <c r="AF165" s="29">
        <v>0</v>
      </c>
      <c r="AG165" s="29">
        <v>0</v>
      </c>
      <c r="AH165" s="29">
        <v>236.00581711025961</v>
      </c>
      <c r="AI165" s="29">
        <v>545.37354705966141</v>
      </c>
      <c r="AJ165" s="29">
        <v>0</v>
      </c>
      <c r="AK165" s="29">
        <v>856.63728665414692</v>
      </c>
      <c r="AL165" s="29">
        <v>1638.0166508240679</v>
      </c>
      <c r="AM165" s="29">
        <v>45.949360595365725</v>
      </c>
      <c r="AN165" s="29">
        <v>7.03439765535067</v>
      </c>
      <c r="AO165" s="29">
        <v>0</v>
      </c>
      <c r="AP165" s="29">
        <v>0</v>
      </c>
      <c r="AQ165" s="29">
        <v>52.983758250716392</v>
      </c>
      <c r="AR165" s="29">
        <v>236.00581711025961</v>
      </c>
      <c r="AS165" s="107">
        <v>0.22450191651828183</v>
      </c>
      <c r="AT165" s="29">
        <v>45.949360595365725</v>
      </c>
      <c r="AU165" s="29">
        <v>8.3266316290672631</v>
      </c>
      <c r="AV165" s="29">
        <v>0</v>
      </c>
      <c r="AW165" s="29">
        <v>0</v>
      </c>
      <c r="AX165" s="29">
        <v>54.27599222443299</v>
      </c>
      <c r="AY165" s="29">
        <v>545.37354705966141</v>
      </c>
      <c r="AZ165" s="107">
        <v>9.9520764285429192E-2</v>
      </c>
      <c r="BA165" s="29">
        <v>45.949360595365725</v>
      </c>
      <c r="BB165" s="29">
        <v>15.361029284417933</v>
      </c>
      <c r="BC165" s="29">
        <v>0</v>
      </c>
      <c r="BD165" s="29">
        <v>0</v>
      </c>
      <c r="BE165" s="29">
        <v>61.310389879783656</v>
      </c>
      <c r="BF165" s="29">
        <v>781.37936416992102</v>
      </c>
      <c r="BG165" s="29">
        <v>630.06122742039111</v>
      </c>
      <c r="BH165" s="107">
        <v>7.8464306444687368E-2</v>
      </c>
      <c r="BI165" s="29">
        <v>194.11821889233033</v>
      </c>
      <c r="BJ165" s="29">
        <v>448.57767864575118</v>
      </c>
      <c r="BK165" s="29">
        <v>0</v>
      </c>
      <c r="BL165" s="29">
        <v>704.59663392268453</v>
      </c>
      <c r="BM165" s="29">
        <v>1347.292531460766</v>
      </c>
      <c r="BN165" s="29">
        <v>45.949360595365725</v>
      </c>
      <c r="BO165" s="29">
        <v>0</v>
      </c>
      <c r="BP165" s="29">
        <v>15.361029284417933</v>
      </c>
      <c r="BQ165" s="29">
        <v>0</v>
      </c>
      <c r="BR165" s="29">
        <v>0</v>
      </c>
      <c r="BS165" s="29">
        <v>0</v>
      </c>
      <c r="BT165" s="29">
        <v>0</v>
      </c>
      <c r="BU165" s="29">
        <v>0</v>
      </c>
      <c r="BV165" s="29">
        <v>-11.535805370882752</v>
      </c>
      <c r="BW165" s="29">
        <v>0</v>
      </c>
      <c r="BX165" s="29">
        <v>1638.0166508240679</v>
      </c>
      <c r="BY165" s="29"/>
      <c r="BZ165" s="29">
        <v>0</v>
      </c>
      <c r="CA165" s="29">
        <v>0</v>
      </c>
      <c r="CB165" s="29">
        <v>49.774584508900901</v>
      </c>
      <c r="CC165" s="29">
        <v>1638.0166508240679</v>
      </c>
      <c r="CD165" s="107">
        <v>3.7167893418321066E-2</v>
      </c>
      <c r="CE165" s="29">
        <v>1344.1462291278328</v>
      </c>
      <c r="CF165" s="29">
        <v>0.84987554166893831</v>
      </c>
      <c r="CG165" s="29">
        <v>0</v>
      </c>
      <c r="CH165" s="29">
        <v>0.84987554166893831</v>
      </c>
      <c r="CI165" s="29">
        <v>4.2493268146886497E-2</v>
      </c>
      <c r="CJ165" s="29">
        <v>0</v>
      </c>
      <c r="CK165" s="29">
        <v>4.2493268146886497E-2</v>
      </c>
      <c r="CL165" s="29"/>
      <c r="CM165" s="29">
        <v>0</v>
      </c>
      <c r="CN165" s="29"/>
      <c r="CO165" s="29">
        <v>0</v>
      </c>
      <c r="CP165" s="29">
        <v>0</v>
      </c>
      <c r="CQ165" s="29">
        <v>0</v>
      </c>
      <c r="CR165" s="29">
        <v>0</v>
      </c>
      <c r="CS165" s="29">
        <v>0</v>
      </c>
      <c r="CT165" s="29">
        <v>0</v>
      </c>
      <c r="CU165" s="29">
        <v>0</v>
      </c>
      <c r="CV165" s="29">
        <v>9999</v>
      </c>
      <c r="CW165" s="33">
        <v>9999</v>
      </c>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row>
    <row r="166" spans="1:131">
      <c r="A166" s="7" t="s">
        <v>489</v>
      </c>
      <c r="B166" s="7" t="s">
        <v>357</v>
      </c>
      <c r="C166" s="29">
        <v>13</v>
      </c>
      <c r="D166" s="29">
        <v>-2.2637514832828005</v>
      </c>
      <c r="E166" s="29">
        <v>-3.2805277823109287</v>
      </c>
      <c r="F166" s="29">
        <v>0</v>
      </c>
      <c r="G166" s="29">
        <v>0</v>
      </c>
      <c r="H166" s="29">
        <v>0</v>
      </c>
      <c r="I166" s="29" t="s">
        <v>551</v>
      </c>
      <c r="J166" s="29"/>
      <c r="K166" s="29"/>
      <c r="L166" s="29">
        <v>-2.4411860773062712</v>
      </c>
      <c r="M166" s="29">
        <v>-1.2765422474182797E-3</v>
      </c>
      <c r="N166" s="29">
        <v>-1.2673287379335876E-3</v>
      </c>
      <c r="O166" s="29">
        <v>-3.3133330670770471</v>
      </c>
      <c r="P166" s="29">
        <v>0</v>
      </c>
      <c r="Q166" s="29">
        <v>0</v>
      </c>
      <c r="R166" s="29">
        <v>0</v>
      </c>
      <c r="S166" s="29">
        <v>0</v>
      </c>
      <c r="T166" s="29">
        <v>0</v>
      </c>
      <c r="U166" s="29">
        <v>0</v>
      </c>
      <c r="V166" s="29" t="s">
        <v>345</v>
      </c>
      <c r="W166" s="29" t="s">
        <v>345</v>
      </c>
      <c r="X166" s="29" t="s">
        <v>345</v>
      </c>
      <c r="Y166" s="29" t="s">
        <v>345</v>
      </c>
      <c r="Z166" s="29">
        <v>0</v>
      </c>
      <c r="AA166" s="29">
        <v>0</v>
      </c>
      <c r="AB166" s="29">
        <v>0</v>
      </c>
      <c r="AC166" s="29">
        <v>0</v>
      </c>
      <c r="AD166" s="29">
        <v>0</v>
      </c>
      <c r="AE166" s="29">
        <v>0</v>
      </c>
      <c r="AF166" s="29">
        <v>0</v>
      </c>
      <c r="AG166" s="29">
        <v>0</v>
      </c>
      <c r="AH166" s="29">
        <v>0</v>
      </c>
      <c r="AI166" s="29">
        <v>0</v>
      </c>
      <c r="AJ166" s="29">
        <v>0</v>
      </c>
      <c r="AK166" s="29">
        <v>0</v>
      </c>
      <c r="AL166" s="29">
        <v>0</v>
      </c>
      <c r="AM166" s="29">
        <v>-1.2858385903969933</v>
      </c>
      <c r="AN166" s="29">
        <v>-0.45106426912437542</v>
      </c>
      <c r="AO166" s="29">
        <v>0</v>
      </c>
      <c r="AP166" s="29">
        <v>0</v>
      </c>
      <c r="AQ166" s="29">
        <v>-1.7369028595213687</v>
      </c>
      <c r="AR166" s="29">
        <v>0</v>
      </c>
      <c r="AS166" s="107">
        <v>0</v>
      </c>
      <c r="AT166" s="29">
        <v>-1.2858385903969933</v>
      </c>
      <c r="AU166" s="29">
        <v>-0.53392574518107794</v>
      </c>
      <c r="AV166" s="29">
        <v>0</v>
      </c>
      <c r="AW166" s="29">
        <v>0</v>
      </c>
      <c r="AX166" s="29">
        <v>-1.8197643355780713</v>
      </c>
      <c r="AY166" s="29">
        <v>0</v>
      </c>
      <c r="AZ166" s="107">
        <v>0</v>
      </c>
      <c r="BA166" s="29">
        <v>-1.2858385903969933</v>
      </c>
      <c r="BB166" s="29">
        <v>-0.9849900143054533</v>
      </c>
      <c r="BC166" s="29">
        <v>0</v>
      </c>
      <c r="BD166" s="29">
        <v>0</v>
      </c>
      <c r="BE166" s="29">
        <v>-2.2708286047024466</v>
      </c>
      <c r="BF166" s="29">
        <v>0</v>
      </c>
      <c r="BG166" s="29">
        <v>9999</v>
      </c>
      <c r="BH166" s="107">
        <v>0</v>
      </c>
      <c r="BI166" s="29">
        <v>9999</v>
      </c>
      <c r="BJ166" s="29">
        <v>9999</v>
      </c>
      <c r="BK166" s="29">
        <v>9999</v>
      </c>
      <c r="BL166" s="29">
        <v>9999</v>
      </c>
      <c r="BM166" s="29">
        <v>9999</v>
      </c>
      <c r="BN166" s="29">
        <v>-1.2858385903969933</v>
      </c>
      <c r="BO166" s="29">
        <v>-25.710366106999945</v>
      </c>
      <c r="BP166" s="29">
        <v>-0.9849900143054533</v>
      </c>
      <c r="BQ166" s="29">
        <v>0</v>
      </c>
      <c r="BR166" s="29">
        <v>0</v>
      </c>
      <c r="BS166" s="29">
        <v>0</v>
      </c>
      <c r="BT166" s="29">
        <v>0</v>
      </c>
      <c r="BU166" s="29">
        <v>0</v>
      </c>
      <c r="BV166" s="29">
        <v>-11.535805370882752</v>
      </c>
      <c r="BW166" s="29">
        <v>0</v>
      </c>
      <c r="BX166" s="29">
        <v>0</v>
      </c>
      <c r="BY166" s="29"/>
      <c r="BZ166" s="29">
        <v>0</v>
      </c>
      <c r="CA166" s="29">
        <v>0</v>
      </c>
      <c r="CB166" s="29">
        <v>-39.517000082585142</v>
      </c>
      <c r="CC166" s="29">
        <v>0</v>
      </c>
      <c r="CD166" s="107">
        <v>0</v>
      </c>
      <c r="CE166" s="29">
        <v>9999</v>
      </c>
      <c r="CF166" s="29">
        <v>-2.3191415675003629E-2</v>
      </c>
      <c r="CG166" s="29">
        <v>-0.38765996884801501</v>
      </c>
      <c r="CH166" s="29">
        <v>-0.41085138452301861</v>
      </c>
      <c r="CI166" s="29">
        <v>-1.1595633867204792E-3</v>
      </c>
      <c r="CJ166" s="29">
        <v>-1.9382998442400726E-2</v>
      </c>
      <c r="CK166" s="29">
        <v>-2.0542561829121203E-2</v>
      </c>
      <c r="CL166" s="29"/>
      <c r="CM166" s="29">
        <v>-3.2805277823109287</v>
      </c>
      <c r="CN166" s="29" t="s">
        <v>551</v>
      </c>
      <c r="CO166" s="29">
        <v>0</v>
      </c>
      <c r="CP166" s="29">
        <v>0</v>
      </c>
      <c r="CQ166" s="29">
        <v>-25.710366106999945</v>
      </c>
      <c r="CR166" s="29">
        <v>0</v>
      </c>
      <c r="CS166" s="29">
        <v>0</v>
      </c>
      <c r="CT166" s="29">
        <v>-25.710366106999945</v>
      </c>
      <c r="CU166" s="29">
        <v>0</v>
      </c>
      <c r="CV166" s="29">
        <v>9999</v>
      </c>
      <c r="CW166" s="107">
        <v>0</v>
      </c>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row>
    <row r="167" spans="1:131">
      <c r="A167" s="7" t="s">
        <v>489</v>
      </c>
      <c r="B167" s="7" t="s">
        <v>359</v>
      </c>
      <c r="C167" s="29">
        <v>13</v>
      </c>
      <c r="D167" s="29">
        <v>1.0000000000000001E-5</v>
      </c>
      <c r="E167" s="29">
        <v>0</v>
      </c>
      <c r="F167" s="29">
        <v>0</v>
      </c>
      <c r="G167" s="29">
        <v>0</v>
      </c>
      <c r="H167" s="29">
        <v>0</v>
      </c>
      <c r="I167" s="29" t="s">
        <v>552</v>
      </c>
      <c r="J167" s="29"/>
      <c r="K167" s="29"/>
      <c r="L167" s="29">
        <v>1.0717520953171996E-5</v>
      </c>
      <c r="M167" s="29">
        <v>0</v>
      </c>
      <c r="N167" s="29">
        <v>0</v>
      </c>
      <c r="O167" s="29">
        <v>0</v>
      </c>
      <c r="P167" s="29">
        <v>0</v>
      </c>
      <c r="Q167" s="29">
        <v>0</v>
      </c>
      <c r="R167" s="29">
        <v>0</v>
      </c>
      <c r="S167" s="29">
        <v>0</v>
      </c>
      <c r="T167" s="29">
        <v>0</v>
      </c>
      <c r="U167" s="29">
        <v>0</v>
      </c>
      <c r="V167" s="29" t="s">
        <v>345</v>
      </c>
      <c r="W167" s="29" t="s">
        <v>345</v>
      </c>
      <c r="X167" s="29" t="s">
        <v>345</v>
      </c>
      <c r="Y167" s="29" t="s">
        <v>345</v>
      </c>
      <c r="Z167" s="29">
        <v>0</v>
      </c>
      <c r="AA167" s="29">
        <v>0</v>
      </c>
      <c r="AB167" s="29">
        <v>0</v>
      </c>
      <c r="AC167" s="29">
        <v>0</v>
      </c>
      <c r="AD167" s="29">
        <v>0</v>
      </c>
      <c r="AE167" s="29">
        <v>0</v>
      </c>
      <c r="AF167" s="29">
        <v>0</v>
      </c>
      <c r="AG167" s="29">
        <v>0</v>
      </c>
      <c r="AH167" s="29">
        <v>0</v>
      </c>
      <c r="AI167" s="29">
        <v>0</v>
      </c>
      <c r="AJ167" s="29">
        <v>0</v>
      </c>
      <c r="AK167" s="29">
        <v>0</v>
      </c>
      <c r="AL167" s="29">
        <v>0</v>
      </c>
      <c r="AM167" s="29">
        <v>5.5800831647479789E-6</v>
      </c>
      <c r="AN167" s="29">
        <v>0</v>
      </c>
      <c r="AO167" s="29">
        <v>0</v>
      </c>
      <c r="AP167" s="29">
        <v>0</v>
      </c>
      <c r="AQ167" s="29">
        <v>5.5800831647479789E-6</v>
      </c>
      <c r="AR167" s="29">
        <v>0</v>
      </c>
      <c r="AS167" s="33">
        <v>9999</v>
      </c>
      <c r="AT167" s="29">
        <v>5.5800831647479789E-6</v>
      </c>
      <c r="AU167" s="29">
        <v>0</v>
      </c>
      <c r="AV167" s="29">
        <v>0</v>
      </c>
      <c r="AW167" s="29">
        <v>0</v>
      </c>
      <c r="AX167" s="29">
        <v>5.5800831647479789E-6</v>
      </c>
      <c r="AY167" s="29">
        <v>0</v>
      </c>
      <c r="AZ167" s="33">
        <v>9999</v>
      </c>
      <c r="BA167" s="29">
        <v>5.5800831647479789E-6</v>
      </c>
      <c r="BB167" s="29">
        <v>0</v>
      </c>
      <c r="BC167" s="29">
        <v>0</v>
      </c>
      <c r="BD167" s="29">
        <v>0</v>
      </c>
      <c r="BE167" s="29">
        <v>5.5800831647479789E-6</v>
      </c>
      <c r="BF167" s="29">
        <v>0</v>
      </c>
      <c r="BG167" s="29">
        <v>0</v>
      </c>
      <c r="BH167" s="33">
        <v>9999</v>
      </c>
      <c r="BI167" s="29">
        <v>0</v>
      </c>
      <c r="BJ167" s="29">
        <v>0</v>
      </c>
      <c r="BK167" s="29">
        <v>0</v>
      </c>
      <c r="BL167" s="29">
        <v>0</v>
      </c>
      <c r="BM167" s="29">
        <v>0</v>
      </c>
      <c r="BN167" s="29">
        <v>5.5800831647479789E-6</v>
      </c>
      <c r="BO167" s="29">
        <v>0</v>
      </c>
      <c r="BP167" s="29">
        <v>0</v>
      </c>
      <c r="BQ167" s="29">
        <v>0</v>
      </c>
      <c r="BR167" s="29">
        <v>0</v>
      </c>
      <c r="BS167" s="29">
        <v>0</v>
      </c>
      <c r="BT167" s="29">
        <v>0</v>
      </c>
      <c r="BU167" s="29">
        <v>0</v>
      </c>
      <c r="BV167" s="29">
        <v>-11.535805370882752</v>
      </c>
      <c r="BW167" s="29">
        <v>0</v>
      </c>
      <c r="BX167" s="29">
        <v>0</v>
      </c>
      <c r="BY167" s="29"/>
      <c r="BZ167" s="29">
        <v>0</v>
      </c>
      <c r="CA167" s="29">
        <v>0</v>
      </c>
      <c r="CB167" s="29">
        <v>-11.535799790799587</v>
      </c>
      <c r="CC167" s="29">
        <v>0</v>
      </c>
      <c r="CD167" s="107">
        <v>4.8371856019975272E-7</v>
      </c>
      <c r="CE167" s="29">
        <v>79199728.589168653</v>
      </c>
      <c r="CF167" s="29">
        <v>1.018228403603893E-7</v>
      </c>
      <c r="CG167" s="29">
        <v>0</v>
      </c>
      <c r="CH167" s="29">
        <v>1.018228403603893E-7</v>
      </c>
      <c r="CI167" s="29">
        <v>5.090822452756698E-9</v>
      </c>
      <c r="CJ167" s="29">
        <v>0</v>
      </c>
      <c r="CK167" s="29">
        <v>5.090822452756698E-9</v>
      </c>
      <c r="CL167" s="29"/>
      <c r="CM167" s="29">
        <v>0</v>
      </c>
      <c r="CN167" s="29"/>
      <c r="CO167" s="29">
        <v>0</v>
      </c>
      <c r="CP167" s="29">
        <v>0</v>
      </c>
      <c r="CQ167" s="29">
        <v>0</v>
      </c>
      <c r="CR167" s="29">
        <v>0</v>
      </c>
      <c r="CS167" s="29">
        <v>0</v>
      </c>
      <c r="CT167" s="29">
        <v>0</v>
      </c>
      <c r="CU167" s="29">
        <v>0</v>
      </c>
      <c r="CV167" s="29">
        <v>9999</v>
      </c>
      <c r="CW167" s="33">
        <v>9999</v>
      </c>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row>
    <row r="168" spans="1:131">
      <c r="A168" s="7" t="s">
        <v>490</v>
      </c>
      <c r="B168" s="7" t="s">
        <v>356</v>
      </c>
      <c r="C168" s="29">
        <v>13</v>
      </c>
      <c r="D168" s="29">
        <v>89.057413754093687</v>
      </c>
      <c r="E168" s="29">
        <v>0</v>
      </c>
      <c r="F168" s="29">
        <v>1183.5005381933265</v>
      </c>
      <c r="G168" s="29">
        <v>0</v>
      </c>
      <c r="H168" s="29">
        <v>0</v>
      </c>
      <c r="I168" s="29" t="s">
        <v>569</v>
      </c>
      <c r="J168" s="29"/>
      <c r="K168" s="29"/>
      <c r="L168" s="29">
        <v>95.62594078675113</v>
      </c>
      <c r="M168" s="29">
        <v>2.1280061486004948E-2</v>
      </c>
      <c r="N168" s="29">
        <v>2.1126471545105878E-2</v>
      </c>
      <c r="O168" s="29">
        <v>0</v>
      </c>
      <c r="P168" s="29">
        <v>0</v>
      </c>
      <c r="Q168" s="29">
        <v>0</v>
      </c>
      <c r="R168" s="29">
        <v>236.00581711025961</v>
      </c>
      <c r="S168" s="29">
        <v>545.37354705966141</v>
      </c>
      <c r="T168" s="29">
        <v>0</v>
      </c>
      <c r="U168" s="29">
        <v>856.63728665414692</v>
      </c>
      <c r="V168" s="29" t="s">
        <v>345</v>
      </c>
      <c r="W168" s="29" t="s">
        <v>345</v>
      </c>
      <c r="X168" s="29" t="s">
        <v>345</v>
      </c>
      <c r="Y168" s="29" t="s">
        <v>345</v>
      </c>
      <c r="Z168" s="29">
        <v>0</v>
      </c>
      <c r="AA168" s="29">
        <v>0</v>
      </c>
      <c r="AB168" s="29">
        <v>0</v>
      </c>
      <c r="AC168" s="29">
        <v>0</v>
      </c>
      <c r="AD168" s="29">
        <v>0</v>
      </c>
      <c r="AE168" s="29">
        <v>0</v>
      </c>
      <c r="AF168" s="29">
        <v>0</v>
      </c>
      <c r="AG168" s="29">
        <v>0</v>
      </c>
      <c r="AH168" s="29">
        <v>236.00581711025961</v>
      </c>
      <c r="AI168" s="29">
        <v>545.37354705966141</v>
      </c>
      <c r="AJ168" s="29">
        <v>0</v>
      </c>
      <c r="AK168" s="29">
        <v>856.63728665414692</v>
      </c>
      <c r="AL168" s="29">
        <v>1638.0166508240679</v>
      </c>
      <c r="AM168" s="29">
        <v>49.116642185278657</v>
      </c>
      <c r="AN168" s="29">
        <v>7.5192774861304157</v>
      </c>
      <c r="AO168" s="29">
        <v>0</v>
      </c>
      <c r="AP168" s="29">
        <v>0</v>
      </c>
      <c r="AQ168" s="29">
        <v>56.63591967140907</v>
      </c>
      <c r="AR168" s="29">
        <v>236.00581711025961</v>
      </c>
      <c r="AS168" s="107">
        <v>0.23997679533868999</v>
      </c>
      <c r="AT168" s="29">
        <v>49.116642185278657</v>
      </c>
      <c r="AU168" s="29">
        <v>8.9005849272855393</v>
      </c>
      <c r="AV168" s="29">
        <v>0</v>
      </c>
      <c r="AW168" s="29">
        <v>0</v>
      </c>
      <c r="AX168" s="29">
        <v>58.0172271125642</v>
      </c>
      <c r="AY168" s="29">
        <v>545.37354705966141</v>
      </c>
      <c r="AZ168" s="107">
        <v>0.10638071359595551</v>
      </c>
      <c r="BA168" s="29">
        <v>49.116642185278657</v>
      </c>
      <c r="BB168" s="29">
        <v>16.419862413415956</v>
      </c>
      <c r="BC168" s="29">
        <v>0</v>
      </c>
      <c r="BD168" s="29">
        <v>0</v>
      </c>
      <c r="BE168" s="29">
        <v>65.53650459869462</v>
      </c>
      <c r="BF168" s="29">
        <v>781.37936416992102</v>
      </c>
      <c r="BG168" s="29">
        <v>588.61704895830928</v>
      </c>
      <c r="BH168" s="107">
        <v>8.3872837707092127E-2</v>
      </c>
      <c r="BI168" s="29">
        <v>181.60052562972709</v>
      </c>
      <c r="BJ168" s="29">
        <v>419.65119344627271</v>
      </c>
      <c r="BK168" s="29">
        <v>0</v>
      </c>
      <c r="BL168" s="29">
        <v>659.16079287883599</v>
      </c>
      <c r="BM168" s="29">
        <v>1260.4125119548357</v>
      </c>
      <c r="BN168" s="29">
        <v>49.116642185278657</v>
      </c>
      <c r="BO168" s="29">
        <v>0</v>
      </c>
      <c r="BP168" s="29">
        <v>16.419862413415956</v>
      </c>
      <c r="BQ168" s="29">
        <v>0</v>
      </c>
      <c r="BR168" s="29">
        <v>0</v>
      </c>
      <c r="BS168" s="29">
        <v>0</v>
      </c>
      <c r="BT168" s="29">
        <v>0</v>
      </c>
      <c r="BU168" s="29">
        <v>0</v>
      </c>
      <c r="BV168" s="29">
        <v>-11.758402353841168</v>
      </c>
      <c r="BW168" s="29">
        <v>0</v>
      </c>
      <c r="BX168" s="29">
        <v>1638.0166508240679</v>
      </c>
      <c r="BY168" s="29"/>
      <c r="BZ168" s="29">
        <v>0</v>
      </c>
      <c r="CA168" s="29">
        <v>0</v>
      </c>
      <c r="CB168" s="29">
        <v>53.778102244853436</v>
      </c>
      <c r="CC168" s="29">
        <v>1638.0166508240679</v>
      </c>
      <c r="CD168" s="107">
        <v>3.97245093944497E-2</v>
      </c>
      <c r="CE168" s="29">
        <v>1256.8256359727693</v>
      </c>
      <c r="CF168" s="29">
        <v>0.90845731782354966</v>
      </c>
      <c r="CG168" s="29">
        <v>0</v>
      </c>
      <c r="CH168" s="29">
        <v>0.90845731782354966</v>
      </c>
      <c r="CI168" s="29">
        <v>4.5422321873706775E-2</v>
      </c>
      <c r="CJ168" s="29">
        <v>0</v>
      </c>
      <c r="CK168" s="29">
        <v>4.5422321873706775E-2</v>
      </c>
      <c r="CL168" s="29"/>
      <c r="CM168" s="29">
        <v>0</v>
      </c>
      <c r="CN168" s="29"/>
      <c r="CO168" s="29">
        <v>0</v>
      </c>
      <c r="CP168" s="29">
        <v>0</v>
      </c>
      <c r="CQ168" s="29">
        <v>0</v>
      </c>
      <c r="CR168" s="29">
        <v>0</v>
      </c>
      <c r="CS168" s="29">
        <v>0</v>
      </c>
      <c r="CT168" s="29">
        <v>0</v>
      </c>
      <c r="CU168" s="29">
        <v>0</v>
      </c>
      <c r="CV168" s="29">
        <v>9999</v>
      </c>
      <c r="CW168" s="33">
        <v>9999</v>
      </c>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row>
    <row r="169" spans="1:131">
      <c r="A169" s="7" t="s">
        <v>490</v>
      </c>
      <c r="B169" s="7" t="s">
        <v>357</v>
      </c>
      <c r="C169" s="29">
        <v>13</v>
      </c>
      <c r="D169" s="29">
        <v>-2.477359795878221</v>
      </c>
      <c r="E169" s="29">
        <v>-3.3370468367574389</v>
      </c>
      <c r="F169" s="29">
        <v>0</v>
      </c>
      <c r="G169" s="29">
        <v>0</v>
      </c>
      <c r="H169" s="29">
        <v>0</v>
      </c>
      <c r="I169" s="29" t="s">
        <v>551</v>
      </c>
      <c r="J169" s="29"/>
      <c r="K169" s="29"/>
      <c r="L169" s="29">
        <v>-2.6715371748342691</v>
      </c>
      <c r="M169" s="29">
        <v>-1.3969971813814173E-3</v>
      </c>
      <c r="N169" s="29">
        <v>-1.3869142822006209E-3</v>
      </c>
      <c r="O169" s="29">
        <v>-3.3704173121876413</v>
      </c>
      <c r="P169" s="29">
        <v>0</v>
      </c>
      <c r="Q169" s="29">
        <v>0</v>
      </c>
      <c r="R169" s="29">
        <v>0</v>
      </c>
      <c r="S169" s="29">
        <v>0</v>
      </c>
      <c r="T169" s="29">
        <v>0</v>
      </c>
      <c r="U169" s="29">
        <v>0</v>
      </c>
      <c r="V169" s="29" t="s">
        <v>345</v>
      </c>
      <c r="W169" s="29" t="s">
        <v>345</v>
      </c>
      <c r="X169" s="29" t="s">
        <v>345</v>
      </c>
      <c r="Y169" s="29" t="s">
        <v>345</v>
      </c>
      <c r="Z169" s="29">
        <v>0</v>
      </c>
      <c r="AA169" s="29">
        <v>0</v>
      </c>
      <c r="AB169" s="29">
        <v>0</v>
      </c>
      <c r="AC169" s="29">
        <v>0</v>
      </c>
      <c r="AD169" s="29">
        <v>0</v>
      </c>
      <c r="AE169" s="29">
        <v>0</v>
      </c>
      <c r="AF169" s="29">
        <v>0</v>
      </c>
      <c r="AG169" s="29">
        <v>0</v>
      </c>
      <c r="AH169" s="29">
        <v>0</v>
      </c>
      <c r="AI169" s="29">
        <v>0</v>
      </c>
      <c r="AJ169" s="29">
        <v>0</v>
      </c>
      <c r="AK169" s="29">
        <v>0</v>
      </c>
      <c r="AL169" s="29">
        <v>0</v>
      </c>
      <c r="AM169" s="29">
        <v>-1.4071707302511727</v>
      </c>
      <c r="AN169" s="29">
        <v>-0.49362683754731029</v>
      </c>
      <c r="AO169" s="29">
        <v>0</v>
      </c>
      <c r="AP169" s="29">
        <v>0</v>
      </c>
      <c r="AQ169" s="29">
        <v>-1.900797567798483</v>
      </c>
      <c r="AR169" s="29">
        <v>0</v>
      </c>
      <c r="AS169" s="107">
        <v>0</v>
      </c>
      <c r="AT169" s="29">
        <v>-1.4071707302511727</v>
      </c>
      <c r="AU169" s="29">
        <v>-0.58430714893569424</v>
      </c>
      <c r="AV169" s="29">
        <v>0</v>
      </c>
      <c r="AW169" s="29">
        <v>0</v>
      </c>
      <c r="AX169" s="29">
        <v>-1.991477879186867</v>
      </c>
      <c r="AY169" s="29">
        <v>0</v>
      </c>
      <c r="AZ169" s="107">
        <v>0</v>
      </c>
      <c r="BA169" s="29">
        <v>-1.4071707302511727</v>
      </c>
      <c r="BB169" s="29">
        <v>-1.0779339864830044</v>
      </c>
      <c r="BC169" s="29">
        <v>0</v>
      </c>
      <c r="BD169" s="29">
        <v>0</v>
      </c>
      <c r="BE169" s="29">
        <v>-2.4851047167341775</v>
      </c>
      <c r="BF169" s="29">
        <v>0</v>
      </c>
      <c r="BG169" s="29">
        <v>9999</v>
      </c>
      <c r="BH169" s="107">
        <v>0</v>
      </c>
      <c r="BI169" s="29">
        <v>9999</v>
      </c>
      <c r="BJ169" s="29">
        <v>9999</v>
      </c>
      <c r="BK169" s="29">
        <v>9999</v>
      </c>
      <c r="BL169" s="29">
        <v>9999</v>
      </c>
      <c r="BM169" s="29">
        <v>9999</v>
      </c>
      <c r="BN169" s="29">
        <v>-1.4071707302511727</v>
      </c>
      <c r="BO169" s="29">
        <v>-26.153320923501358</v>
      </c>
      <c r="BP169" s="29">
        <v>-1.0779339864830044</v>
      </c>
      <c r="BQ169" s="29">
        <v>0</v>
      </c>
      <c r="BR169" s="29">
        <v>0</v>
      </c>
      <c r="BS169" s="29">
        <v>0</v>
      </c>
      <c r="BT169" s="29">
        <v>0</v>
      </c>
      <c r="BU169" s="29">
        <v>0</v>
      </c>
      <c r="BV169" s="29">
        <v>-11.758402353841168</v>
      </c>
      <c r="BW169" s="29">
        <v>0</v>
      </c>
      <c r="BX169" s="29">
        <v>0</v>
      </c>
      <c r="BY169" s="29"/>
      <c r="BZ169" s="29">
        <v>0</v>
      </c>
      <c r="CA169" s="29">
        <v>0</v>
      </c>
      <c r="CB169" s="29">
        <v>-40.396827994076702</v>
      </c>
      <c r="CC169" s="29">
        <v>0</v>
      </c>
      <c r="CD169" s="107">
        <v>0</v>
      </c>
      <c r="CE169" s="29">
        <v>9999</v>
      </c>
      <c r="CF169" s="29">
        <v>-2.5379765061241347E-2</v>
      </c>
      <c r="CG169" s="29">
        <v>-0.39433882552595362</v>
      </c>
      <c r="CH169" s="29">
        <v>-0.41971859058719496</v>
      </c>
      <c r="CI169" s="29">
        <v>-1.2689801580462775E-3</v>
      </c>
      <c r="CJ169" s="29">
        <v>-1.9716941276297698E-2</v>
      </c>
      <c r="CK169" s="29">
        <v>-2.0985921434343975E-2</v>
      </c>
      <c r="CL169" s="29"/>
      <c r="CM169" s="29">
        <v>-3.3370468367574389</v>
      </c>
      <c r="CN169" s="29" t="s">
        <v>551</v>
      </c>
      <c r="CO169" s="29">
        <v>0</v>
      </c>
      <c r="CP169" s="29">
        <v>0</v>
      </c>
      <c r="CQ169" s="29">
        <v>-26.153320923501358</v>
      </c>
      <c r="CR169" s="29">
        <v>0</v>
      </c>
      <c r="CS169" s="29">
        <v>0</v>
      </c>
      <c r="CT169" s="29">
        <v>-26.153320923501358</v>
      </c>
      <c r="CU169" s="29">
        <v>0</v>
      </c>
      <c r="CV169" s="29">
        <v>9999</v>
      </c>
      <c r="CW169" s="107">
        <v>0</v>
      </c>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row>
    <row r="170" spans="1:131">
      <c r="A170" s="7" t="s">
        <v>490</v>
      </c>
      <c r="B170" s="7" t="s">
        <v>359</v>
      </c>
      <c r="C170" s="29">
        <v>13</v>
      </c>
      <c r="D170" s="29">
        <v>-4.6863626022599112</v>
      </c>
      <c r="E170" s="29">
        <v>0</v>
      </c>
      <c r="F170" s="29">
        <v>0</v>
      </c>
      <c r="G170" s="29">
        <v>0</v>
      </c>
      <c r="H170" s="29">
        <v>0</v>
      </c>
      <c r="I170" s="29" t="s">
        <v>552</v>
      </c>
      <c r="J170" s="29"/>
      <c r="K170" s="29"/>
      <c r="L170" s="29">
        <v>-5.0226189383882236</v>
      </c>
      <c r="M170" s="29">
        <v>0</v>
      </c>
      <c r="N170" s="29">
        <v>0</v>
      </c>
      <c r="O170" s="29">
        <v>0</v>
      </c>
      <c r="P170" s="29">
        <v>0</v>
      </c>
      <c r="Q170" s="29">
        <v>0</v>
      </c>
      <c r="R170" s="29">
        <v>0</v>
      </c>
      <c r="S170" s="29">
        <v>0</v>
      </c>
      <c r="T170" s="29">
        <v>0</v>
      </c>
      <c r="U170" s="29">
        <v>0</v>
      </c>
      <c r="V170" s="29" t="s">
        <v>345</v>
      </c>
      <c r="W170" s="29" t="s">
        <v>345</v>
      </c>
      <c r="X170" s="29" t="s">
        <v>345</v>
      </c>
      <c r="Y170" s="29" t="s">
        <v>345</v>
      </c>
      <c r="Z170" s="29">
        <v>0</v>
      </c>
      <c r="AA170" s="29">
        <v>0</v>
      </c>
      <c r="AB170" s="29">
        <v>0</v>
      </c>
      <c r="AC170" s="29">
        <v>0</v>
      </c>
      <c r="AD170" s="29">
        <v>0</v>
      </c>
      <c r="AE170" s="29">
        <v>0</v>
      </c>
      <c r="AF170" s="29">
        <v>0</v>
      </c>
      <c r="AG170" s="29">
        <v>0</v>
      </c>
      <c r="AH170" s="29">
        <v>0</v>
      </c>
      <c r="AI170" s="29">
        <v>0</v>
      </c>
      <c r="AJ170" s="29">
        <v>0</v>
      </c>
      <c r="AK170" s="29">
        <v>0</v>
      </c>
      <c r="AL170" s="29">
        <v>0</v>
      </c>
      <c r="AM170" s="29">
        <v>-2.6150293060775049</v>
      </c>
      <c r="AN170" s="29">
        <v>0</v>
      </c>
      <c r="AO170" s="29">
        <v>0</v>
      </c>
      <c r="AP170" s="29">
        <v>0</v>
      </c>
      <c r="AQ170" s="29">
        <v>-2.6150293060775049</v>
      </c>
      <c r="AR170" s="29">
        <v>0</v>
      </c>
      <c r="AS170" s="107">
        <v>0</v>
      </c>
      <c r="AT170" s="29">
        <v>-2.6150293060775049</v>
      </c>
      <c r="AU170" s="29">
        <v>0</v>
      </c>
      <c r="AV170" s="29">
        <v>0</v>
      </c>
      <c r="AW170" s="29">
        <v>0</v>
      </c>
      <c r="AX170" s="29">
        <v>-2.6150293060775049</v>
      </c>
      <c r="AY170" s="29">
        <v>0</v>
      </c>
      <c r="AZ170" s="107">
        <v>0</v>
      </c>
      <c r="BA170" s="29">
        <v>-2.6150293060775049</v>
      </c>
      <c r="BB170" s="29">
        <v>0</v>
      </c>
      <c r="BC170" s="29">
        <v>0</v>
      </c>
      <c r="BD170" s="29">
        <v>0</v>
      </c>
      <c r="BE170" s="29">
        <v>-2.6150293060775049</v>
      </c>
      <c r="BF170" s="29">
        <v>0</v>
      </c>
      <c r="BG170" s="29">
        <v>9999</v>
      </c>
      <c r="BH170" s="107">
        <v>0</v>
      </c>
      <c r="BI170" s="29">
        <v>9999</v>
      </c>
      <c r="BJ170" s="29">
        <v>9999</v>
      </c>
      <c r="BK170" s="29">
        <v>9999</v>
      </c>
      <c r="BL170" s="29">
        <v>9999</v>
      </c>
      <c r="BM170" s="29">
        <v>9999</v>
      </c>
      <c r="BN170" s="29">
        <v>-2.6150293060775049</v>
      </c>
      <c r="BO170" s="29">
        <v>0</v>
      </c>
      <c r="BP170" s="29">
        <v>0</v>
      </c>
      <c r="BQ170" s="29">
        <v>0</v>
      </c>
      <c r="BR170" s="29">
        <v>0</v>
      </c>
      <c r="BS170" s="29">
        <v>0</v>
      </c>
      <c r="BT170" s="29">
        <v>0</v>
      </c>
      <c r="BU170" s="29">
        <v>0</v>
      </c>
      <c r="BV170" s="29">
        <v>-11.758402353841168</v>
      </c>
      <c r="BW170" s="29">
        <v>0</v>
      </c>
      <c r="BX170" s="29">
        <v>0</v>
      </c>
      <c r="BY170" s="29"/>
      <c r="BZ170" s="29">
        <v>0</v>
      </c>
      <c r="CA170" s="29">
        <v>0</v>
      </c>
      <c r="CB170" s="29">
        <v>-14.373431659918673</v>
      </c>
      <c r="CC170" s="29">
        <v>0</v>
      </c>
      <c r="CD170" s="107">
        <v>0</v>
      </c>
      <c r="CE170" s="29">
        <v>9999</v>
      </c>
      <c r="CF170" s="29">
        <v>-4.7717875112080858E-2</v>
      </c>
      <c r="CG170" s="29">
        <v>0</v>
      </c>
      <c r="CH170" s="29">
        <v>-4.7717875112080858E-2</v>
      </c>
      <c r="CI170" s="29">
        <v>-2.385743995734406E-3</v>
      </c>
      <c r="CJ170" s="29">
        <v>0</v>
      </c>
      <c r="CK170" s="29">
        <v>-2.385743995734406E-3</v>
      </c>
      <c r="CL170" s="29"/>
      <c r="CM170" s="29">
        <v>0</v>
      </c>
      <c r="CN170" s="29"/>
      <c r="CO170" s="29">
        <v>0</v>
      </c>
      <c r="CP170" s="29">
        <v>0</v>
      </c>
      <c r="CQ170" s="29">
        <v>0</v>
      </c>
      <c r="CR170" s="29">
        <v>0</v>
      </c>
      <c r="CS170" s="29">
        <v>0</v>
      </c>
      <c r="CT170" s="29">
        <v>0</v>
      </c>
      <c r="CU170" s="29">
        <v>0</v>
      </c>
      <c r="CV170" s="29">
        <v>9999</v>
      </c>
      <c r="CW170" s="33">
        <v>9999</v>
      </c>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row>
    <row r="171" spans="1:131">
      <c r="A171" s="7" t="s">
        <v>491</v>
      </c>
      <c r="B171" s="7" t="s">
        <v>356</v>
      </c>
      <c r="C171" s="29">
        <v>13</v>
      </c>
      <c r="D171" s="29">
        <v>83.314555641672925</v>
      </c>
      <c r="E171" s="29">
        <v>0</v>
      </c>
      <c r="F171" s="29">
        <v>1183.5005381933265</v>
      </c>
      <c r="G171" s="29">
        <v>0</v>
      </c>
      <c r="H171" s="29">
        <v>0</v>
      </c>
      <c r="I171" s="29" t="s">
        <v>569</v>
      </c>
      <c r="J171" s="29"/>
      <c r="K171" s="29"/>
      <c r="L171" s="29">
        <v>89.459511888182121</v>
      </c>
      <c r="M171" s="29">
        <v>1.9907818922627132E-2</v>
      </c>
      <c r="N171" s="29">
        <v>1.976413321317716E-2</v>
      </c>
      <c r="O171" s="29">
        <v>0</v>
      </c>
      <c r="P171" s="29">
        <v>0</v>
      </c>
      <c r="Q171" s="29">
        <v>0</v>
      </c>
      <c r="R171" s="29">
        <v>236.00581711025961</v>
      </c>
      <c r="S171" s="29">
        <v>545.37354705966141</v>
      </c>
      <c r="T171" s="29">
        <v>0</v>
      </c>
      <c r="U171" s="29">
        <v>856.63728665414692</v>
      </c>
      <c r="V171" s="29" t="s">
        <v>345</v>
      </c>
      <c r="W171" s="29" t="s">
        <v>345</v>
      </c>
      <c r="X171" s="29" t="s">
        <v>345</v>
      </c>
      <c r="Y171" s="29" t="s">
        <v>345</v>
      </c>
      <c r="Z171" s="29">
        <v>0</v>
      </c>
      <c r="AA171" s="29">
        <v>0</v>
      </c>
      <c r="AB171" s="29">
        <v>0</v>
      </c>
      <c r="AC171" s="29">
        <v>0</v>
      </c>
      <c r="AD171" s="29">
        <v>0</v>
      </c>
      <c r="AE171" s="29">
        <v>0</v>
      </c>
      <c r="AF171" s="29">
        <v>0</v>
      </c>
      <c r="AG171" s="29">
        <v>0</v>
      </c>
      <c r="AH171" s="29">
        <v>236.00581711025961</v>
      </c>
      <c r="AI171" s="29">
        <v>545.37354705966141</v>
      </c>
      <c r="AJ171" s="29">
        <v>0</v>
      </c>
      <c r="AK171" s="29">
        <v>856.63728665414692</v>
      </c>
      <c r="AL171" s="29">
        <v>1638.0166508240679</v>
      </c>
      <c r="AM171" s="29">
        <v>45.949360595365725</v>
      </c>
      <c r="AN171" s="29">
        <v>7.03439765535067</v>
      </c>
      <c r="AO171" s="29">
        <v>0</v>
      </c>
      <c r="AP171" s="29">
        <v>0</v>
      </c>
      <c r="AQ171" s="29">
        <v>52.983758250716392</v>
      </c>
      <c r="AR171" s="29">
        <v>236.00581711025961</v>
      </c>
      <c r="AS171" s="107">
        <v>0.22450191651828183</v>
      </c>
      <c r="AT171" s="29">
        <v>45.949360595365725</v>
      </c>
      <c r="AU171" s="29">
        <v>8.3266316290672631</v>
      </c>
      <c r="AV171" s="29">
        <v>0</v>
      </c>
      <c r="AW171" s="29">
        <v>0</v>
      </c>
      <c r="AX171" s="29">
        <v>54.27599222443299</v>
      </c>
      <c r="AY171" s="29">
        <v>545.37354705966141</v>
      </c>
      <c r="AZ171" s="107">
        <v>9.9520764285429192E-2</v>
      </c>
      <c r="BA171" s="29">
        <v>45.949360595365725</v>
      </c>
      <c r="BB171" s="29">
        <v>15.361029284417933</v>
      </c>
      <c r="BC171" s="29">
        <v>0</v>
      </c>
      <c r="BD171" s="29">
        <v>0</v>
      </c>
      <c r="BE171" s="29">
        <v>61.310389879783656</v>
      </c>
      <c r="BF171" s="29">
        <v>781.37936416992102</v>
      </c>
      <c r="BG171" s="29">
        <v>630.06122742039111</v>
      </c>
      <c r="BH171" s="107">
        <v>7.8464306444687368E-2</v>
      </c>
      <c r="BI171" s="29">
        <v>194.11821889233033</v>
      </c>
      <c r="BJ171" s="29">
        <v>448.57767864575118</v>
      </c>
      <c r="BK171" s="29">
        <v>0</v>
      </c>
      <c r="BL171" s="29">
        <v>704.59663392268453</v>
      </c>
      <c r="BM171" s="29">
        <v>1347.292531460766</v>
      </c>
      <c r="BN171" s="29">
        <v>45.949360595365725</v>
      </c>
      <c r="BO171" s="29">
        <v>0</v>
      </c>
      <c r="BP171" s="29">
        <v>15.361029284417933</v>
      </c>
      <c r="BQ171" s="29">
        <v>0</v>
      </c>
      <c r="BR171" s="29">
        <v>0</v>
      </c>
      <c r="BS171" s="29">
        <v>0</v>
      </c>
      <c r="BT171" s="29">
        <v>0</v>
      </c>
      <c r="BU171" s="29">
        <v>0</v>
      </c>
      <c r="BV171" s="29">
        <v>-8.1329344251580622</v>
      </c>
      <c r="BW171" s="29">
        <v>0</v>
      </c>
      <c r="BX171" s="29">
        <v>1638.0166508240679</v>
      </c>
      <c r="BY171" s="29"/>
      <c r="BZ171" s="29">
        <v>0</v>
      </c>
      <c r="CA171" s="29">
        <v>0</v>
      </c>
      <c r="CB171" s="29">
        <v>53.177455454625594</v>
      </c>
      <c r="CC171" s="29">
        <v>1638.0166508240679</v>
      </c>
      <c r="CD171" s="107">
        <v>3.7244725770472012E-2</v>
      </c>
      <c r="CE171" s="29">
        <v>1341.3473182569373</v>
      </c>
      <c r="CF171" s="29">
        <v>0.84987554166893831</v>
      </c>
      <c r="CG171" s="29">
        <v>0</v>
      </c>
      <c r="CH171" s="29">
        <v>0.84987554166893831</v>
      </c>
      <c r="CI171" s="29">
        <v>4.2493268146886497E-2</v>
      </c>
      <c r="CJ171" s="29">
        <v>0</v>
      </c>
      <c r="CK171" s="29">
        <v>4.2493268146886497E-2</v>
      </c>
      <c r="CL171" s="29"/>
      <c r="CM171" s="29">
        <v>0</v>
      </c>
      <c r="CN171" s="29"/>
      <c r="CO171" s="29">
        <v>0</v>
      </c>
      <c r="CP171" s="29">
        <v>0</v>
      </c>
      <c r="CQ171" s="29">
        <v>0</v>
      </c>
      <c r="CR171" s="29">
        <v>0</v>
      </c>
      <c r="CS171" s="29">
        <v>0</v>
      </c>
      <c r="CT171" s="29">
        <v>0</v>
      </c>
      <c r="CU171" s="29">
        <v>0</v>
      </c>
      <c r="CV171" s="29">
        <v>9999</v>
      </c>
      <c r="CW171" s="33">
        <v>9999</v>
      </c>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row>
    <row r="172" spans="1:131">
      <c r="A172" s="7" t="s">
        <v>491</v>
      </c>
      <c r="B172" s="7" t="s">
        <v>357</v>
      </c>
      <c r="C172" s="29">
        <v>13</v>
      </c>
      <c r="D172" s="29">
        <v>-59.309250809255715</v>
      </c>
      <c r="E172" s="29">
        <v>-0.10736797974600408</v>
      </c>
      <c r="F172" s="29">
        <v>0</v>
      </c>
      <c r="G172" s="29">
        <v>0</v>
      </c>
      <c r="H172" s="29">
        <v>0</v>
      </c>
      <c r="I172" s="29" t="s">
        <v>551</v>
      </c>
      <c r="J172" s="29"/>
      <c r="K172" s="29"/>
      <c r="L172" s="29">
        <v>-63.957955809292081</v>
      </c>
      <c r="M172" s="29">
        <v>-3.3444821518548072E-2</v>
      </c>
      <c r="N172" s="29">
        <v>-3.3203431794942617E-2</v>
      </c>
      <c r="O172" s="29">
        <v>-0.108441659770701</v>
      </c>
      <c r="P172" s="29">
        <v>0</v>
      </c>
      <c r="Q172" s="29">
        <v>0</v>
      </c>
      <c r="R172" s="29">
        <v>0</v>
      </c>
      <c r="S172" s="29">
        <v>0</v>
      </c>
      <c r="T172" s="29">
        <v>0</v>
      </c>
      <c r="U172" s="29">
        <v>0</v>
      </c>
      <c r="V172" s="29" t="s">
        <v>345</v>
      </c>
      <c r="W172" s="29" t="s">
        <v>345</v>
      </c>
      <c r="X172" s="29" t="s">
        <v>345</v>
      </c>
      <c r="Y172" s="29" t="s">
        <v>345</v>
      </c>
      <c r="Z172" s="29">
        <v>0</v>
      </c>
      <c r="AA172" s="29">
        <v>0</v>
      </c>
      <c r="AB172" s="29">
        <v>0</v>
      </c>
      <c r="AC172" s="29">
        <v>0</v>
      </c>
      <c r="AD172" s="29">
        <v>0</v>
      </c>
      <c r="AE172" s="29">
        <v>0</v>
      </c>
      <c r="AF172" s="29">
        <v>0</v>
      </c>
      <c r="AG172" s="29">
        <v>0</v>
      </c>
      <c r="AH172" s="29">
        <v>0</v>
      </c>
      <c r="AI172" s="29">
        <v>0</v>
      </c>
      <c r="AJ172" s="29">
        <v>0</v>
      </c>
      <c r="AK172" s="29">
        <v>0</v>
      </c>
      <c r="AL172" s="29">
        <v>0</v>
      </c>
      <c r="AM172" s="29">
        <v>-33.688381441713204</v>
      </c>
      <c r="AN172" s="29">
        <v>-11.817677013642914</v>
      </c>
      <c r="AO172" s="29">
        <v>0</v>
      </c>
      <c r="AP172" s="29">
        <v>0</v>
      </c>
      <c r="AQ172" s="29">
        <v>-45.506058455356118</v>
      </c>
      <c r="AR172" s="29">
        <v>0</v>
      </c>
      <c r="AS172" s="107">
        <v>0</v>
      </c>
      <c r="AT172" s="29">
        <v>-33.688381441713204</v>
      </c>
      <c r="AU172" s="29">
        <v>-13.988609689850538</v>
      </c>
      <c r="AV172" s="29">
        <v>0</v>
      </c>
      <c r="AW172" s="29">
        <v>0</v>
      </c>
      <c r="AX172" s="29">
        <v>-47.676991131563739</v>
      </c>
      <c r="AY172" s="29">
        <v>0</v>
      </c>
      <c r="AZ172" s="107">
        <v>0</v>
      </c>
      <c r="BA172" s="29">
        <v>-33.688381441713204</v>
      </c>
      <c r="BB172" s="29">
        <v>-25.806286703493452</v>
      </c>
      <c r="BC172" s="29">
        <v>0</v>
      </c>
      <c r="BD172" s="29">
        <v>0</v>
      </c>
      <c r="BE172" s="29">
        <v>-59.494668145206653</v>
      </c>
      <c r="BF172" s="29">
        <v>0</v>
      </c>
      <c r="BG172" s="29">
        <v>9999</v>
      </c>
      <c r="BH172" s="107">
        <v>0</v>
      </c>
      <c r="BI172" s="29">
        <v>9999</v>
      </c>
      <c r="BJ172" s="29">
        <v>9999</v>
      </c>
      <c r="BK172" s="29">
        <v>9999</v>
      </c>
      <c r="BL172" s="29">
        <v>9999</v>
      </c>
      <c r="BM172" s="29">
        <v>9999</v>
      </c>
      <c r="BN172" s="29">
        <v>-33.688381441713204</v>
      </c>
      <c r="BO172" s="29">
        <v>-0.84147132736493413</v>
      </c>
      <c r="BP172" s="29">
        <v>-25.806286703493452</v>
      </c>
      <c r="BQ172" s="29">
        <v>0</v>
      </c>
      <c r="BR172" s="29">
        <v>0</v>
      </c>
      <c r="BS172" s="29">
        <v>0</v>
      </c>
      <c r="BT172" s="29">
        <v>0</v>
      </c>
      <c r="BU172" s="29">
        <v>0</v>
      </c>
      <c r="BV172" s="29">
        <v>-8.1329344251580622</v>
      </c>
      <c r="BW172" s="29">
        <v>0</v>
      </c>
      <c r="BX172" s="29">
        <v>0</v>
      </c>
      <c r="BY172" s="29"/>
      <c r="BZ172" s="29">
        <v>0</v>
      </c>
      <c r="CA172" s="29">
        <v>0</v>
      </c>
      <c r="CB172" s="29">
        <v>-68.469073897729658</v>
      </c>
      <c r="CC172" s="29">
        <v>0</v>
      </c>
      <c r="CD172" s="107">
        <v>0</v>
      </c>
      <c r="CE172" s="29">
        <v>9999</v>
      </c>
      <c r="CF172" s="29">
        <v>-0.60760445616400138</v>
      </c>
      <c r="CG172" s="29">
        <v>-1.2687674193172026E-2</v>
      </c>
      <c r="CH172" s="29">
        <v>-0.62029213035717345</v>
      </c>
      <c r="CI172" s="29">
        <v>-3.0380029009413743E-2</v>
      </c>
      <c r="CJ172" s="29">
        <v>-6.3438370965860095E-4</v>
      </c>
      <c r="CK172" s="29">
        <v>-3.1014412719072345E-2</v>
      </c>
      <c r="CL172" s="29"/>
      <c r="CM172" s="29">
        <v>-0.10736797974600408</v>
      </c>
      <c r="CN172" s="29" t="s">
        <v>551</v>
      </c>
      <c r="CO172" s="29">
        <v>0</v>
      </c>
      <c r="CP172" s="29">
        <v>0</v>
      </c>
      <c r="CQ172" s="29">
        <v>-0.84147132736493413</v>
      </c>
      <c r="CR172" s="29">
        <v>0</v>
      </c>
      <c r="CS172" s="29">
        <v>0</v>
      </c>
      <c r="CT172" s="29">
        <v>-0.84147132736493413</v>
      </c>
      <c r="CU172" s="29">
        <v>0</v>
      </c>
      <c r="CV172" s="29">
        <v>9999</v>
      </c>
      <c r="CW172" s="107">
        <v>0</v>
      </c>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row>
    <row r="173" spans="1:131">
      <c r="A173" s="7" t="s">
        <v>491</v>
      </c>
      <c r="B173" s="7" t="s">
        <v>359</v>
      </c>
      <c r="C173" s="29">
        <v>13</v>
      </c>
      <c r="D173" s="29">
        <v>1.0000000000000001E-5</v>
      </c>
      <c r="E173" s="29">
        <v>0</v>
      </c>
      <c r="F173" s="29">
        <v>0</v>
      </c>
      <c r="G173" s="29">
        <v>0</v>
      </c>
      <c r="H173" s="29">
        <v>0</v>
      </c>
      <c r="I173" s="29" t="s">
        <v>552</v>
      </c>
      <c r="J173" s="29"/>
      <c r="K173" s="29"/>
      <c r="L173" s="29">
        <v>1.0717520953171996E-5</v>
      </c>
      <c r="M173" s="29">
        <v>0</v>
      </c>
      <c r="N173" s="29">
        <v>0</v>
      </c>
      <c r="O173" s="29">
        <v>0</v>
      </c>
      <c r="P173" s="29">
        <v>0</v>
      </c>
      <c r="Q173" s="29">
        <v>0</v>
      </c>
      <c r="R173" s="29">
        <v>0</v>
      </c>
      <c r="S173" s="29">
        <v>0</v>
      </c>
      <c r="T173" s="29">
        <v>0</v>
      </c>
      <c r="U173" s="29">
        <v>0</v>
      </c>
      <c r="V173" s="29" t="s">
        <v>345</v>
      </c>
      <c r="W173" s="29" t="s">
        <v>345</v>
      </c>
      <c r="X173" s="29" t="s">
        <v>345</v>
      </c>
      <c r="Y173" s="29" t="s">
        <v>345</v>
      </c>
      <c r="Z173" s="29">
        <v>0</v>
      </c>
      <c r="AA173" s="29">
        <v>0</v>
      </c>
      <c r="AB173" s="29">
        <v>0</v>
      </c>
      <c r="AC173" s="29">
        <v>0</v>
      </c>
      <c r="AD173" s="29">
        <v>0</v>
      </c>
      <c r="AE173" s="29">
        <v>0</v>
      </c>
      <c r="AF173" s="29">
        <v>0</v>
      </c>
      <c r="AG173" s="29">
        <v>0</v>
      </c>
      <c r="AH173" s="29">
        <v>0</v>
      </c>
      <c r="AI173" s="29">
        <v>0</v>
      </c>
      <c r="AJ173" s="29">
        <v>0</v>
      </c>
      <c r="AK173" s="29">
        <v>0</v>
      </c>
      <c r="AL173" s="29">
        <v>0</v>
      </c>
      <c r="AM173" s="29">
        <v>5.5800831647479789E-6</v>
      </c>
      <c r="AN173" s="29">
        <v>0</v>
      </c>
      <c r="AO173" s="29">
        <v>0</v>
      </c>
      <c r="AP173" s="29">
        <v>0</v>
      </c>
      <c r="AQ173" s="29">
        <v>5.5800831647479789E-6</v>
      </c>
      <c r="AR173" s="29">
        <v>0</v>
      </c>
      <c r="AS173" s="33">
        <v>9999</v>
      </c>
      <c r="AT173" s="29">
        <v>5.5800831647479789E-6</v>
      </c>
      <c r="AU173" s="29">
        <v>0</v>
      </c>
      <c r="AV173" s="29">
        <v>0</v>
      </c>
      <c r="AW173" s="29">
        <v>0</v>
      </c>
      <c r="AX173" s="29">
        <v>5.5800831647479789E-6</v>
      </c>
      <c r="AY173" s="29">
        <v>0</v>
      </c>
      <c r="AZ173" s="33">
        <v>9999</v>
      </c>
      <c r="BA173" s="29">
        <v>5.5800831647479789E-6</v>
      </c>
      <c r="BB173" s="29">
        <v>0</v>
      </c>
      <c r="BC173" s="29">
        <v>0</v>
      </c>
      <c r="BD173" s="29">
        <v>0</v>
      </c>
      <c r="BE173" s="29">
        <v>5.5800831647479789E-6</v>
      </c>
      <c r="BF173" s="29">
        <v>0</v>
      </c>
      <c r="BG173" s="29">
        <v>0</v>
      </c>
      <c r="BH173" s="33">
        <v>9999</v>
      </c>
      <c r="BI173" s="29">
        <v>0</v>
      </c>
      <c r="BJ173" s="29">
        <v>0</v>
      </c>
      <c r="BK173" s="29">
        <v>0</v>
      </c>
      <c r="BL173" s="29">
        <v>0</v>
      </c>
      <c r="BM173" s="29">
        <v>0</v>
      </c>
      <c r="BN173" s="29">
        <v>5.5800831647479789E-6</v>
      </c>
      <c r="BO173" s="29">
        <v>0</v>
      </c>
      <c r="BP173" s="29">
        <v>0</v>
      </c>
      <c r="BQ173" s="29">
        <v>0</v>
      </c>
      <c r="BR173" s="29">
        <v>0</v>
      </c>
      <c r="BS173" s="29">
        <v>0</v>
      </c>
      <c r="BT173" s="29">
        <v>0</v>
      </c>
      <c r="BU173" s="29">
        <v>0</v>
      </c>
      <c r="BV173" s="29">
        <v>-8.1329344251580622</v>
      </c>
      <c r="BW173" s="29">
        <v>0</v>
      </c>
      <c r="BX173" s="29">
        <v>0</v>
      </c>
      <c r="BY173" s="29"/>
      <c r="BZ173" s="29">
        <v>0</v>
      </c>
      <c r="CA173" s="29">
        <v>0</v>
      </c>
      <c r="CB173" s="29">
        <v>-8.1329288450748969</v>
      </c>
      <c r="CC173" s="29">
        <v>0</v>
      </c>
      <c r="CD173" s="107">
        <v>6.8610944992828104E-7</v>
      </c>
      <c r="CE173" s="29">
        <v>55837124.361672081</v>
      </c>
      <c r="CF173" s="29">
        <v>1.018228403603893E-7</v>
      </c>
      <c r="CG173" s="29">
        <v>0</v>
      </c>
      <c r="CH173" s="29">
        <v>1.018228403603893E-7</v>
      </c>
      <c r="CI173" s="29">
        <v>5.090822452756698E-9</v>
      </c>
      <c r="CJ173" s="29">
        <v>0</v>
      </c>
      <c r="CK173" s="29">
        <v>5.090822452756698E-9</v>
      </c>
      <c r="CL173" s="29"/>
      <c r="CM173" s="29">
        <v>0</v>
      </c>
      <c r="CN173" s="29"/>
      <c r="CO173" s="29">
        <v>0</v>
      </c>
      <c r="CP173" s="29">
        <v>0</v>
      </c>
      <c r="CQ173" s="29">
        <v>0</v>
      </c>
      <c r="CR173" s="29">
        <v>0</v>
      </c>
      <c r="CS173" s="29">
        <v>0</v>
      </c>
      <c r="CT173" s="29">
        <v>0</v>
      </c>
      <c r="CU173" s="29">
        <v>0</v>
      </c>
      <c r="CV173" s="29">
        <v>9999</v>
      </c>
      <c r="CW173" s="33">
        <v>9999</v>
      </c>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row>
    <row r="174" spans="1:131">
      <c r="A174" s="7" t="s">
        <v>492</v>
      </c>
      <c r="B174" s="7" t="s">
        <v>356</v>
      </c>
      <c r="C174" s="29">
        <v>13</v>
      </c>
      <c r="D174" s="29">
        <v>89.067288335771607</v>
      </c>
      <c r="E174" s="29">
        <v>0</v>
      </c>
      <c r="F174" s="29">
        <v>1183.5005381933265</v>
      </c>
      <c r="G174" s="29">
        <v>0</v>
      </c>
      <c r="H174" s="29">
        <v>0</v>
      </c>
      <c r="I174" s="29" t="s">
        <v>569</v>
      </c>
      <c r="J174" s="29"/>
      <c r="K174" s="29"/>
      <c r="L174" s="29">
        <v>95.636543679009307</v>
      </c>
      <c r="M174" s="29">
        <v>2.1282420994286143E-2</v>
      </c>
      <c r="N174" s="29">
        <v>2.1128814023514405E-2</v>
      </c>
      <c r="O174" s="29">
        <v>0</v>
      </c>
      <c r="P174" s="29">
        <v>0</v>
      </c>
      <c r="Q174" s="29">
        <v>0</v>
      </c>
      <c r="R174" s="29">
        <v>236.00581711025961</v>
      </c>
      <c r="S174" s="29">
        <v>545.37354705966141</v>
      </c>
      <c r="T174" s="29">
        <v>0</v>
      </c>
      <c r="U174" s="29">
        <v>856.63728665414692</v>
      </c>
      <c r="V174" s="29" t="s">
        <v>345</v>
      </c>
      <c r="W174" s="29" t="s">
        <v>345</v>
      </c>
      <c r="X174" s="29" t="s">
        <v>345</v>
      </c>
      <c r="Y174" s="29" t="s">
        <v>345</v>
      </c>
      <c r="Z174" s="29">
        <v>0</v>
      </c>
      <c r="AA174" s="29">
        <v>0</v>
      </c>
      <c r="AB174" s="29">
        <v>0</v>
      </c>
      <c r="AC174" s="29">
        <v>0</v>
      </c>
      <c r="AD174" s="29">
        <v>0</v>
      </c>
      <c r="AE174" s="29">
        <v>0</v>
      </c>
      <c r="AF174" s="29">
        <v>0</v>
      </c>
      <c r="AG174" s="29">
        <v>0</v>
      </c>
      <c r="AH174" s="29">
        <v>236.00581711025961</v>
      </c>
      <c r="AI174" s="29">
        <v>545.37354705966141</v>
      </c>
      <c r="AJ174" s="29">
        <v>0</v>
      </c>
      <c r="AK174" s="29">
        <v>856.63728665414692</v>
      </c>
      <c r="AL174" s="29">
        <v>1638.0166508240679</v>
      </c>
      <c r="AM174" s="29">
        <v>49.122088181008301</v>
      </c>
      <c r="AN174" s="29">
        <v>7.5201112148068479</v>
      </c>
      <c r="AO174" s="29">
        <v>0</v>
      </c>
      <c r="AP174" s="29">
        <v>0</v>
      </c>
      <c r="AQ174" s="29">
        <v>56.642199395815148</v>
      </c>
      <c r="AR174" s="29">
        <v>236.00581711025961</v>
      </c>
      <c r="AS174" s="107">
        <v>0.24000340368454759</v>
      </c>
      <c r="AT174" s="29">
        <v>49.122088181008301</v>
      </c>
      <c r="AU174" s="29">
        <v>8.9015718137124047</v>
      </c>
      <c r="AV174" s="29">
        <v>0</v>
      </c>
      <c r="AW174" s="29">
        <v>0</v>
      </c>
      <c r="AX174" s="29">
        <v>58.023659994720703</v>
      </c>
      <c r="AY174" s="29">
        <v>545.37354705966141</v>
      </c>
      <c r="AZ174" s="107">
        <v>0.10639250896481998</v>
      </c>
      <c r="BA174" s="29">
        <v>49.122088181008301</v>
      </c>
      <c r="BB174" s="29">
        <v>16.421683028519254</v>
      </c>
      <c r="BC174" s="29">
        <v>0</v>
      </c>
      <c r="BD174" s="29">
        <v>0</v>
      </c>
      <c r="BE174" s="29">
        <v>65.543771209527549</v>
      </c>
      <c r="BF174" s="29">
        <v>781.37936416992102</v>
      </c>
      <c r="BG174" s="29">
        <v>588.55039026329405</v>
      </c>
      <c r="BH174" s="107">
        <v>8.3882137429053233E-2</v>
      </c>
      <c r="BI174" s="29">
        <v>181.58039220861829</v>
      </c>
      <c r="BJ174" s="29">
        <v>419.6046681723663</v>
      </c>
      <c r="BK174" s="29">
        <v>0</v>
      </c>
      <c r="BL174" s="29">
        <v>659.08771400543833</v>
      </c>
      <c r="BM174" s="29">
        <v>1260.272774386423</v>
      </c>
      <c r="BN174" s="29">
        <v>49.122088181008301</v>
      </c>
      <c r="BO174" s="29">
        <v>0</v>
      </c>
      <c r="BP174" s="29">
        <v>16.421683028519254</v>
      </c>
      <c r="BQ174" s="29">
        <v>0</v>
      </c>
      <c r="BR174" s="29">
        <v>0</v>
      </c>
      <c r="BS174" s="29">
        <v>0</v>
      </c>
      <c r="BT174" s="29">
        <v>0</v>
      </c>
      <c r="BU174" s="29">
        <v>0</v>
      </c>
      <c r="BV174" s="29">
        <v>-5.1759578435395754</v>
      </c>
      <c r="BW174" s="29">
        <v>0</v>
      </c>
      <c r="BX174" s="29">
        <v>1638.0166508240679</v>
      </c>
      <c r="BY174" s="29"/>
      <c r="BZ174" s="29">
        <v>0</v>
      </c>
      <c r="CA174" s="29">
        <v>0</v>
      </c>
      <c r="CB174" s="29">
        <v>60.367813365987971</v>
      </c>
      <c r="CC174" s="29">
        <v>1638.0166508240679</v>
      </c>
      <c r="CD174" s="107">
        <v>3.9888063556148844E-2</v>
      </c>
      <c r="CE174" s="29">
        <v>1251.6204317672368</v>
      </c>
      <c r="CF174" s="29">
        <v>0.90855804650640393</v>
      </c>
      <c r="CG174" s="29">
        <v>0</v>
      </c>
      <c r="CH174" s="29">
        <v>0.90855804650640393</v>
      </c>
      <c r="CI174" s="29">
        <v>4.5427358247529408E-2</v>
      </c>
      <c r="CJ174" s="29">
        <v>0</v>
      </c>
      <c r="CK174" s="29">
        <v>4.5427358247529408E-2</v>
      </c>
      <c r="CL174" s="29"/>
      <c r="CM174" s="29">
        <v>0</v>
      </c>
      <c r="CN174" s="29"/>
      <c r="CO174" s="29">
        <v>0</v>
      </c>
      <c r="CP174" s="29">
        <v>0</v>
      </c>
      <c r="CQ174" s="29">
        <v>0</v>
      </c>
      <c r="CR174" s="29">
        <v>0</v>
      </c>
      <c r="CS174" s="29">
        <v>0</v>
      </c>
      <c r="CT174" s="29">
        <v>0</v>
      </c>
      <c r="CU174" s="29">
        <v>0</v>
      </c>
      <c r="CV174" s="29">
        <v>9999</v>
      </c>
      <c r="CW174" s="33">
        <v>9999</v>
      </c>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row>
    <row r="175" spans="1:131">
      <c r="A175" s="7" t="s">
        <v>492</v>
      </c>
      <c r="B175" s="7" t="s">
        <v>357</v>
      </c>
      <c r="C175" s="29">
        <v>13</v>
      </c>
      <c r="D175" s="29">
        <v>-37.798559991420248</v>
      </c>
      <c r="E175" s="29">
        <v>-6.3582610676235357E-2</v>
      </c>
      <c r="F175" s="29">
        <v>0</v>
      </c>
      <c r="G175" s="29">
        <v>0</v>
      </c>
      <c r="H175" s="29">
        <v>0</v>
      </c>
      <c r="I175" s="29" t="s">
        <v>552</v>
      </c>
      <c r="J175" s="29"/>
      <c r="K175" s="29"/>
      <c r="L175" s="29">
        <v>-40.510685870777515</v>
      </c>
      <c r="M175" s="29">
        <v>0</v>
      </c>
      <c r="N175" s="29">
        <v>0</v>
      </c>
      <c r="O175" s="29">
        <v>-6.4218436543765384E-2</v>
      </c>
      <c r="P175" s="29">
        <v>0</v>
      </c>
      <c r="Q175" s="29">
        <v>0</v>
      </c>
      <c r="R175" s="29">
        <v>0</v>
      </c>
      <c r="S175" s="29">
        <v>0</v>
      </c>
      <c r="T175" s="29">
        <v>0</v>
      </c>
      <c r="U175" s="29">
        <v>0</v>
      </c>
      <c r="V175" s="29" t="s">
        <v>345</v>
      </c>
      <c r="W175" s="29" t="s">
        <v>345</v>
      </c>
      <c r="X175" s="29" t="s">
        <v>345</v>
      </c>
      <c r="Y175" s="29" t="s">
        <v>345</v>
      </c>
      <c r="Z175" s="29">
        <v>0</v>
      </c>
      <c r="AA175" s="29">
        <v>0</v>
      </c>
      <c r="AB175" s="29">
        <v>0</v>
      </c>
      <c r="AC175" s="29">
        <v>0</v>
      </c>
      <c r="AD175" s="29">
        <v>0</v>
      </c>
      <c r="AE175" s="29">
        <v>0</v>
      </c>
      <c r="AF175" s="29">
        <v>0</v>
      </c>
      <c r="AG175" s="29">
        <v>0</v>
      </c>
      <c r="AH175" s="29">
        <v>0</v>
      </c>
      <c r="AI175" s="29">
        <v>0</v>
      </c>
      <c r="AJ175" s="29">
        <v>0</v>
      </c>
      <c r="AK175" s="29">
        <v>0</v>
      </c>
      <c r="AL175" s="29">
        <v>0</v>
      </c>
      <c r="AM175" s="29">
        <v>-21.091910825984073</v>
      </c>
      <c r="AN175" s="29">
        <v>0</v>
      </c>
      <c r="AO175" s="29">
        <v>0</v>
      </c>
      <c r="AP175" s="29">
        <v>0</v>
      </c>
      <c r="AQ175" s="29">
        <v>-21.091910825984073</v>
      </c>
      <c r="AR175" s="29">
        <v>0</v>
      </c>
      <c r="AS175" s="107">
        <v>0</v>
      </c>
      <c r="AT175" s="29">
        <v>-21.091910825984073</v>
      </c>
      <c r="AU175" s="29">
        <v>0</v>
      </c>
      <c r="AV175" s="29">
        <v>0</v>
      </c>
      <c r="AW175" s="29">
        <v>0</v>
      </c>
      <c r="AX175" s="29">
        <v>-21.091910825984073</v>
      </c>
      <c r="AY175" s="29">
        <v>0</v>
      </c>
      <c r="AZ175" s="107">
        <v>0</v>
      </c>
      <c r="BA175" s="29">
        <v>-21.091910825984073</v>
      </c>
      <c r="BB175" s="29">
        <v>0</v>
      </c>
      <c r="BC175" s="29">
        <v>0</v>
      </c>
      <c r="BD175" s="29">
        <v>0</v>
      </c>
      <c r="BE175" s="29">
        <v>-21.091910825984073</v>
      </c>
      <c r="BF175" s="29">
        <v>0</v>
      </c>
      <c r="BG175" s="29">
        <v>9999</v>
      </c>
      <c r="BH175" s="107">
        <v>0</v>
      </c>
      <c r="BI175" s="29">
        <v>9999</v>
      </c>
      <c r="BJ175" s="29">
        <v>9999</v>
      </c>
      <c r="BK175" s="29">
        <v>9999</v>
      </c>
      <c r="BL175" s="29">
        <v>9999</v>
      </c>
      <c r="BM175" s="29">
        <v>9999</v>
      </c>
      <c r="BN175" s="29">
        <v>-21.091910825984073</v>
      </c>
      <c r="BO175" s="29">
        <v>-0.49187200211072557</v>
      </c>
      <c r="BP175" s="29">
        <v>0</v>
      </c>
      <c r="BQ175" s="29">
        <v>0</v>
      </c>
      <c r="BR175" s="29">
        <v>0</v>
      </c>
      <c r="BS175" s="29">
        <v>0</v>
      </c>
      <c r="BT175" s="29">
        <v>0</v>
      </c>
      <c r="BU175" s="29">
        <v>0</v>
      </c>
      <c r="BV175" s="29">
        <v>-5.1759578435395754</v>
      </c>
      <c r="BW175" s="29">
        <v>0</v>
      </c>
      <c r="BX175" s="29">
        <v>0</v>
      </c>
      <c r="BY175" s="29"/>
      <c r="BZ175" s="29">
        <v>0</v>
      </c>
      <c r="CA175" s="29">
        <v>0</v>
      </c>
      <c r="CB175" s="29">
        <v>-26.759740671634372</v>
      </c>
      <c r="CC175" s="29">
        <v>0</v>
      </c>
      <c r="CD175" s="107">
        <v>0</v>
      </c>
      <c r="CE175" s="29">
        <v>9999</v>
      </c>
      <c r="CF175" s="29">
        <v>-0.38487567398589784</v>
      </c>
      <c r="CG175" s="29">
        <v>-7.5135570756205677E-3</v>
      </c>
      <c r="CH175" s="29">
        <v>-0.39238923106151841</v>
      </c>
      <c r="CI175" s="29">
        <v>-1.9242575788619317E-2</v>
      </c>
      <c r="CJ175" s="29">
        <v>-3.7567785378102758E-4</v>
      </c>
      <c r="CK175" s="29">
        <v>-1.9618253642400343E-2</v>
      </c>
      <c r="CL175" s="29"/>
      <c r="CM175" s="29">
        <v>-6.3582610676235357E-2</v>
      </c>
      <c r="CN175" s="29" t="s">
        <v>553</v>
      </c>
      <c r="CO175" s="29">
        <v>0</v>
      </c>
      <c r="CP175" s="29">
        <v>0</v>
      </c>
      <c r="CQ175" s="29">
        <v>-0.49187200211072557</v>
      </c>
      <c r="CR175" s="29">
        <v>0</v>
      </c>
      <c r="CS175" s="29">
        <v>0</v>
      </c>
      <c r="CT175" s="29">
        <v>-0.49187200211072557</v>
      </c>
      <c r="CU175" s="29">
        <v>0</v>
      </c>
      <c r="CV175" s="29">
        <v>9999</v>
      </c>
      <c r="CW175" s="107">
        <v>0</v>
      </c>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row>
    <row r="176" spans="1:131">
      <c r="A176" s="7" t="s">
        <v>492</v>
      </c>
      <c r="B176" s="7" t="s">
        <v>359</v>
      </c>
      <c r="C176" s="29">
        <v>13</v>
      </c>
      <c r="D176" s="29">
        <v>-4.6926115042254066</v>
      </c>
      <c r="E176" s="29">
        <v>0</v>
      </c>
      <c r="F176" s="29">
        <v>0</v>
      </c>
      <c r="G176" s="29">
        <v>0</v>
      </c>
      <c r="H176" s="29">
        <v>0</v>
      </c>
      <c r="I176" s="29" t="s">
        <v>552</v>
      </c>
      <c r="J176" s="29"/>
      <c r="K176" s="29"/>
      <c r="L176" s="29">
        <v>-5.0293162121631747</v>
      </c>
      <c r="M176" s="29">
        <v>0</v>
      </c>
      <c r="N176" s="29">
        <v>0</v>
      </c>
      <c r="O176" s="29">
        <v>0</v>
      </c>
      <c r="P176" s="29">
        <v>0</v>
      </c>
      <c r="Q176" s="29">
        <v>0</v>
      </c>
      <c r="R176" s="29">
        <v>0</v>
      </c>
      <c r="S176" s="29">
        <v>0</v>
      </c>
      <c r="T176" s="29">
        <v>0</v>
      </c>
      <c r="U176" s="29">
        <v>0</v>
      </c>
      <c r="V176" s="29" t="s">
        <v>345</v>
      </c>
      <c r="W176" s="29" t="s">
        <v>345</v>
      </c>
      <c r="X176" s="29" t="s">
        <v>345</v>
      </c>
      <c r="Y176" s="29" t="s">
        <v>345</v>
      </c>
      <c r="Z176" s="29">
        <v>0</v>
      </c>
      <c r="AA176" s="29">
        <v>0</v>
      </c>
      <c r="AB176" s="29">
        <v>0</v>
      </c>
      <c r="AC176" s="29">
        <v>0</v>
      </c>
      <c r="AD176" s="29">
        <v>0</v>
      </c>
      <c r="AE176" s="29">
        <v>0</v>
      </c>
      <c r="AF176" s="29">
        <v>0</v>
      </c>
      <c r="AG176" s="29">
        <v>0</v>
      </c>
      <c r="AH176" s="29">
        <v>0</v>
      </c>
      <c r="AI176" s="29">
        <v>0</v>
      </c>
      <c r="AJ176" s="29">
        <v>0</v>
      </c>
      <c r="AK176" s="29">
        <v>0</v>
      </c>
      <c r="AL176" s="29">
        <v>0</v>
      </c>
      <c r="AM176" s="29">
        <v>-2.6185162453430881</v>
      </c>
      <c r="AN176" s="29">
        <v>0</v>
      </c>
      <c r="AO176" s="29">
        <v>0</v>
      </c>
      <c r="AP176" s="29">
        <v>0</v>
      </c>
      <c r="AQ176" s="29">
        <v>-2.6185162453430881</v>
      </c>
      <c r="AR176" s="29">
        <v>0</v>
      </c>
      <c r="AS176" s="107">
        <v>0</v>
      </c>
      <c r="AT176" s="29">
        <v>-2.6185162453430881</v>
      </c>
      <c r="AU176" s="29">
        <v>0</v>
      </c>
      <c r="AV176" s="29">
        <v>0</v>
      </c>
      <c r="AW176" s="29">
        <v>0</v>
      </c>
      <c r="AX176" s="29">
        <v>-2.6185162453430881</v>
      </c>
      <c r="AY176" s="29">
        <v>0</v>
      </c>
      <c r="AZ176" s="107">
        <v>0</v>
      </c>
      <c r="BA176" s="29">
        <v>-2.6185162453430881</v>
      </c>
      <c r="BB176" s="29">
        <v>0</v>
      </c>
      <c r="BC176" s="29">
        <v>0</v>
      </c>
      <c r="BD176" s="29">
        <v>0</v>
      </c>
      <c r="BE176" s="29">
        <v>-2.6185162453430881</v>
      </c>
      <c r="BF176" s="29">
        <v>0</v>
      </c>
      <c r="BG176" s="29">
        <v>9999</v>
      </c>
      <c r="BH176" s="107">
        <v>0</v>
      </c>
      <c r="BI176" s="29">
        <v>9999</v>
      </c>
      <c r="BJ176" s="29">
        <v>9999</v>
      </c>
      <c r="BK176" s="29">
        <v>9999</v>
      </c>
      <c r="BL176" s="29">
        <v>9999</v>
      </c>
      <c r="BM176" s="29">
        <v>9999</v>
      </c>
      <c r="BN176" s="29">
        <v>-2.6185162453430881</v>
      </c>
      <c r="BO176" s="29">
        <v>0</v>
      </c>
      <c r="BP176" s="29">
        <v>0</v>
      </c>
      <c r="BQ176" s="29">
        <v>0</v>
      </c>
      <c r="BR176" s="29">
        <v>0</v>
      </c>
      <c r="BS176" s="29">
        <v>0</v>
      </c>
      <c r="BT176" s="29">
        <v>0</v>
      </c>
      <c r="BU176" s="29">
        <v>0</v>
      </c>
      <c r="BV176" s="29">
        <v>-5.1759578435395754</v>
      </c>
      <c r="BW176" s="29">
        <v>0</v>
      </c>
      <c r="BX176" s="29">
        <v>0</v>
      </c>
      <c r="BY176" s="29"/>
      <c r="BZ176" s="29">
        <v>0</v>
      </c>
      <c r="CA176" s="29">
        <v>0</v>
      </c>
      <c r="CB176" s="29">
        <v>-7.794474088882664</v>
      </c>
      <c r="CC176" s="29">
        <v>0</v>
      </c>
      <c r="CD176" s="107">
        <v>0</v>
      </c>
      <c r="CE176" s="29">
        <v>9999</v>
      </c>
      <c r="CF176" s="29">
        <v>-4.7781503206806998E-2</v>
      </c>
      <c r="CG176" s="29">
        <v>0</v>
      </c>
      <c r="CH176" s="29">
        <v>-4.7781503206806998E-2</v>
      </c>
      <c r="CI176" s="29">
        <v>-2.388925200777508E-3</v>
      </c>
      <c r="CJ176" s="29">
        <v>0</v>
      </c>
      <c r="CK176" s="29">
        <v>-2.388925200777508E-3</v>
      </c>
      <c r="CL176" s="29"/>
      <c r="CM176" s="29">
        <v>0</v>
      </c>
      <c r="CN176" s="29"/>
      <c r="CO176" s="29">
        <v>0</v>
      </c>
      <c r="CP176" s="29">
        <v>0</v>
      </c>
      <c r="CQ176" s="29">
        <v>0</v>
      </c>
      <c r="CR176" s="29">
        <v>0</v>
      </c>
      <c r="CS176" s="29">
        <v>0</v>
      </c>
      <c r="CT176" s="29">
        <v>0</v>
      </c>
      <c r="CU176" s="29">
        <v>0</v>
      </c>
      <c r="CV176" s="29">
        <v>9999</v>
      </c>
      <c r="CW176" s="33">
        <v>9999</v>
      </c>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row>
    <row r="177" spans="1:131">
      <c r="A177" s="7" t="s">
        <v>493</v>
      </c>
      <c r="B177" s="7" t="s">
        <v>356</v>
      </c>
      <c r="C177" s="29">
        <v>13</v>
      </c>
      <c r="D177" s="29">
        <v>83.315518898270511</v>
      </c>
      <c r="E177" s="29">
        <v>0</v>
      </c>
      <c r="F177" s="29">
        <v>1183.5005381933265</v>
      </c>
      <c r="G177" s="29">
        <v>0</v>
      </c>
      <c r="H177" s="29">
        <v>0</v>
      </c>
      <c r="I177" s="29" t="s">
        <v>569</v>
      </c>
      <c r="J177" s="29"/>
      <c r="K177" s="29"/>
      <c r="L177" s="29">
        <v>89.460546190824431</v>
      </c>
      <c r="M177" s="29">
        <v>1.9908049090546449E-2</v>
      </c>
      <c r="N177" s="29">
        <v>1.9764361719847651E-2</v>
      </c>
      <c r="O177" s="29">
        <v>0</v>
      </c>
      <c r="P177" s="29">
        <v>0</v>
      </c>
      <c r="Q177" s="29">
        <v>0</v>
      </c>
      <c r="R177" s="29">
        <v>236.00581711025961</v>
      </c>
      <c r="S177" s="29">
        <v>545.37354705966141</v>
      </c>
      <c r="T177" s="29">
        <v>0</v>
      </c>
      <c r="U177" s="29">
        <v>856.63728665414692</v>
      </c>
      <c r="V177" s="29" t="s">
        <v>345</v>
      </c>
      <c r="W177" s="29" t="s">
        <v>345</v>
      </c>
      <c r="X177" s="29" t="s">
        <v>345</v>
      </c>
      <c r="Y177" s="29" t="s">
        <v>345</v>
      </c>
      <c r="Z177" s="29">
        <v>0</v>
      </c>
      <c r="AA177" s="29">
        <v>0</v>
      </c>
      <c r="AB177" s="29">
        <v>0</v>
      </c>
      <c r="AC177" s="29">
        <v>0</v>
      </c>
      <c r="AD177" s="29">
        <v>0</v>
      </c>
      <c r="AE177" s="29">
        <v>0</v>
      </c>
      <c r="AF177" s="29">
        <v>0</v>
      </c>
      <c r="AG177" s="29">
        <v>0</v>
      </c>
      <c r="AH177" s="29">
        <v>236.00581711025961</v>
      </c>
      <c r="AI177" s="29">
        <v>545.37354705966141</v>
      </c>
      <c r="AJ177" s="29">
        <v>0</v>
      </c>
      <c r="AK177" s="29">
        <v>856.63728665414692</v>
      </c>
      <c r="AL177" s="29">
        <v>1638.0166508240679</v>
      </c>
      <c r="AM177" s="29">
        <v>45.949891847371013</v>
      </c>
      <c r="AN177" s="29">
        <v>7.0344789848362481</v>
      </c>
      <c r="AO177" s="29">
        <v>0</v>
      </c>
      <c r="AP177" s="29">
        <v>0</v>
      </c>
      <c r="AQ177" s="29">
        <v>52.984370832207262</v>
      </c>
      <c r="AR177" s="29">
        <v>236.00581711025961</v>
      </c>
      <c r="AS177" s="107">
        <v>0.22450451213858633</v>
      </c>
      <c r="AT177" s="29">
        <v>45.949891847371013</v>
      </c>
      <c r="AU177" s="29">
        <v>8.3267278989542071</v>
      </c>
      <c r="AV177" s="29">
        <v>0</v>
      </c>
      <c r="AW177" s="29">
        <v>0</v>
      </c>
      <c r="AX177" s="29">
        <v>54.276619746325224</v>
      </c>
      <c r="AY177" s="29">
        <v>545.37354705966141</v>
      </c>
      <c r="AZ177" s="107">
        <v>9.9521914913096449E-2</v>
      </c>
      <c r="BA177" s="29">
        <v>45.949891847371013</v>
      </c>
      <c r="BB177" s="29">
        <v>15.361206883790455</v>
      </c>
      <c r="BC177" s="29">
        <v>0</v>
      </c>
      <c r="BD177" s="29">
        <v>0</v>
      </c>
      <c r="BE177" s="29">
        <v>61.311098731161472</v>
      </c>
      <c r="BF177" s="29">
        <v>781.37936416992102</v>
      </c>
      <c r="BG177" s="29">
        <v>630.05379685917342</v>
      </c>
      <c r="BH177" s="107">
        <v>7.8465213624234614E-2</v>
      </c>
      <c r="BI177" s="29">
        <v>194.11597458469674</v>
      </c>
      <c r="BJ177" s="29">
        <v>448.57249239216725</v>
      </c>
      <c r="BK177" s="29">
        <v>0</v>
      </c>
      <c r="BL177" s="29">
        <v>704.58848769296367</v>
      </c>
      <c r="BM177" s="29">
        <v>1347.2769546698275</v>
      </c>
      <c r="BN177" s="29">
        <v>45.949891847371013</v>
      </c>
      <c r="BO177" s="29">
        <v>0</v>
      </c>
      <c r="BP177" s="29">
        <v>15.361206883790455</v>
      </c>
      <c r="BQ177" s="29">
        <v>0</v>
      </c>
      <c r="BR177" s="29">
        <v>0</v>
      </c>
      <c r="BS177" s="29">
        <v>0</v>
      </c>
      <c r="BT177" s="29">
        <v>0</v>
      </c>
      <c r="BU177" s="29">
        <v>0</v>
      </c>
      <c r="BV177" s="29">
        <v>-7.2128907678384859</v>
      </c>
      <c r="BW177" s="29">
        <v>0</v>
      </c>
      <c r="BX177" s="29">
        <v>1638.0166508240679</v>
      </c>
      <c r="BY177" s="29"/>
      <c r="BZ177" s="29">
        <v>0</v>
      </c>
      <c r="CA177" s="29">
        <v>0</v>
      </c>
      <c r="CB177" s="29">
        <v>54.098207963322977</v>
      </c>
      <c r="CC177" s="29">
        <v>1638.0166508240679</v>
      </c>
      <c r="CD177" s="107">
        <v>3.7265984582210643E-2</v>
      </c>
      <c r="CE177" s="29">
        <v>1340.5749235782243</v>
      </c>
      <c r="CF177" s="29">
        <v>0.84988536766172529</v>
      </c>
      <c r="CG177" s="29">
        <v>0</v>
      </c>
      <c r="CH177" s="29">
        <v>0.84988536766172529</v>
      </c>
      <c r="CI177" s="29">
        <v>4.2493759440641585E-2</v>
      </c>
      <c r="CJ177" s="29">
        <v>0</v>
      </c>
      <c r="CK177" s="29">
        <v>4.2493759440641585E-2</v>
      </c>
      <c r="CL177" s="29"/>
      <c r="CM177" s="29">
        <v>0</v>
      </c>
      <c r="CN177" s="29"/>
      <c r="CO177" s="29">
        <v>0</v>
      </c>
      <c r="CP177" s="29">
        <v>0</v>
      </c>
      <c r="CQ177" s="29">
        <v>0</v>
      </c>
      <c r="CR177" s="29">
        <v>0</v>
      </c>
      <c r="CS177" s="29">
        <v>0</v>
      </c>
      <c r="CT177" s="29">
        <v>0</v>
      </c>
      <c r="CU177" s="29">
        <v>0</v>
      </c>
      <c r="CV177" s="29">
        <v>9999</v>
      </c>
      <c r="CW177" s="33">
        <v>9999</v>
      </c>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row>
    <row r="178" spans="1:131">
      <c r="A178" s="7" t="s">
        <v>493</v>
      </c>
      <c r="B178" s="7" t="s">
        <v>357</v>
      </c>
      <c r="C178" s="29">
        <v>13</v>
      </c>
      <c r="D178" s="29">
        <v>-52.599092392966213</v>
      </c>
      <c r="E178" s="29">
        <v>-9.5289969558249615E-2</v>
      </c>
      <c r="F178" s="29">
        <v>0</v>
      </c>
      <c r="G178" s="29">
        <v>0</v>
      </c>
      <c r="H178" s="29">
        <v>0</v>
      </c>
      <c r="I178" s="29" t="s">
        <v>554</v>
      </c>
      <c r="J178" s="29"/>
      <c r="K178" s="29"/>
      <c r="L178" s="29">
        <v>-56.695932105437976</v>
      </c>
      <c r="M178" s="29">
        <v>-2.1118822067780527E-2</v>
      </c>
      <c r="N178" s="29">
        <v>-2.0966395880695422E-2</v>
      </c>
      <c r="O178" s="29">
        <v>-9.6242868917707738E-2</v>
      </c>
      <c r="P178" s="29">
        <v>0</v>
      </c>
      <c r="Q178" s="29">
        <v>0</v>
      </c>
      <c r="R178" s="29">
        <v>0</v>
      </c>
      <c r="S178" s="29">
        <v>0</v>
      </c>
      <c r="T178" s="29">
        <v>0</v>
      </c>
      <c r="U178" s="29">
        <v>0</v>
      </c>
      <c r="V178" s="29" t="s">
        <v>345</v>
      </c>
      <c r="W178" s="29" t="s">
        <v>345</v>
      </c>
      <c r="X178" s="29" t="s">
        <v>345</v>
      </c>
      <c r="Y178" s="29" t="s">
        <v>345</v>
      </c>
      <c r="Z178" s="29">
        <v>0</v>
      </c>
      <c r="AA178" s="29">
        <v>0</v>
      </c>
      <c r="AB178" s="29">
        <v>0</v>
      </c>
      <c r="AC178" s="29">
        <v>0</v>
      </c>
      <c r="AD178" s="29">
        <v>0</v>
      </c>
      <c r="AE178" s="29">
        <v>0</v>
      </c>
      <c r="AF178" s="29">
        <v>0</v>
      </c>
      <c r="AG178" s="29">
        <v>0</v>
      </c>
      <c r="AH178" s="29">
        <v>0</v>
      </c>
      <c r="AI178" s="29">
        <v>0</v>
      </c>
      <c r="AJ178" s="29">
        <v>0</v>
      </c>
      <c r="AK178" s="29">
        <v>0</v>
      </c>
      <c r="AL178" s="29">
        <v>0</v>
      </c>
      <c r="AM178" s="29">
        <v>-29.529512699931878</v>
      </c>
      <c r="AN178" s="29">
        <v>-7.4623037819835067</v>
      </c>
      <c r="AO178" s="29">
        <v>0</v>
      </c>
      <c r="AP178" s="29">
        <v>0</v>
      </c>
      <c r="AQ178" s="29">
        <v>-36.991816481915386</v>
      </c>
      <c r="AR178" s="29">
        <v>0</v>
      </c>
      <c r="AS178" s="107">
        <v>0</v>
      </c>
      <c r="AT178" s="29">
        <v>-29.529512699931878</v>
      </c>
      <c r="AU178" s="29">
        <v>-8.8331450311895452</v>
      </c>
      <c r="AV178" s="29">
        <v>0</v>
      </c>
      <c r="AW178" s="29">
        <v>0</v>
      </c>
      <c r="AX178" s="29">
        <v>-38.362657731121423</v>
      </c>
      <c r="AY178" s="29">
        <v>0</v>
      </c>
      <c r="AZ178" s="107">
        <v>0</v>
      </c>
      <c r="BA178" s="29">
        <v>-29.529512699931878</v>
      </c>
      <c r="BB178" s="29">
        <v>-16.295448813173053</v>
      </c>
      <c r="BC178" s="29">
        <v>0</v>
      </c>
      <c r="BD178" s="29">
        <v>0</v>
      </c>
      <c r="BE178" s="29">
        <v>-45.824961513104931</v>
      </c>
      <c r="BF178" s="29">
        <v>0</v>
      </c>
      <c r="BG178" s="29">
        <v>9999</v>
      </c>
      <c r="BH178" s="107">
        <v>0</v>
      </c>
      <c r="BI178" s="29">
        <v>9999</v>
      </c>
      <c r="BJ178" s="29">
        <v>9999</v>
      </c>
      <c r="BK178" s="29">
        <v>9999</v>
      </c>
      <c r="BL178" s="29">
        <v>9999</v>
      </c>
      <c r="BM178" s="29">
        <v>9999</v>
      </c>
      <c r="BN178" s="29">
        <v>-29.529512699931878</v>
      </c>
      <c r="BO178" s="29">
        <v>-0.74650792446655656</v>
      </c>
      <c r="BP178" s="29">
        <v>-16.295448813173053</v>
      </c>
      <c r="BQ178" s="29">
        <v>0</v>
      </c>
      <c r="BR178" s="29">
        <v>0</v>
      </c>
      <c r="BS178" s="29">
        <v>0</v>
      </c>
      <c r="BT178" s="29">
        <v>0</v>
      </c>
      <c r="BU178" s="29">
        <v>0</v>
      </c>
      <c r="BV178" s="29">
        <v>-7.2128907678384859</v>
      </c>
      <c r="BW178" s="29">
        <v>0</v>
      </c>
      <c r="BX178" s="29">
        <v>0</v>
      </c>
      <c r="BY178" s="29"/>
      <c r="BZ178" s="29">
        <v>0</v>
      </c>
      <c r="CA178" s="29">
        <v>0</v>
      </c>
      <c r="CB178" s="29">
        <v>-53.784360205409975</v>
      </c>
      <c r="CC178" s="29">
        <v>0</v>
      </c>
      <c r="CD178" s="107">
        <v>0</v>
      </c>
      <c r="CE178" s="29">
        <v>9999</v>
      </c>
      <c r="CF178" s="29">
        <v>-0.53861486613898624</v>
      </c>
      <c r="CG178" s="29">
        <v>-1.1260415663371801E-2</v>
      </c>
      <c r="CH178" s="29">
        <v>-0.54987528180235801</v>
      </c>
      <c r="CI178" s="29">
        <v>-2.6930567750083029E-2</v>
      </c>
      <c r="CJ178" s="29">
        <v>-5.6302078316859043E-4</v>
      </c>
      <c r="CK178" s="29">
        <v>-2.7493588533251619E-2</v>
      </c>
      <c r="CL178" s="29"/>
      <c r="CM178" s="29">
        <v>-9.5289969558249615E-2</v>
      </c>
      <c r="CN178" s="29" t="s">
        <v>554</v>
      </c>
      <c r="CO178" s="29">
        <v>0</v>
      </c>
      <c r="CP178" s="29">
        <v>0</v>
      </c>
      <c r="CQ178" s="29">
        <v>-0.74650792446655656</v>
      </c>
      <c r="CR178" s="29">
        <v>0</v>
      </c>
      <c r="CS178" s="29">
        <v>0</v>
      </c>
      <c r="CT178" s="29">
        <v>-0.74650792446655656</v>
      </c>
      <c r="CU178" s="29">
        <v>0</v>
      </c>
      <c r="CV178" s="29">
        <v>9999</v>
      </c>
      <c r="CW178" s="107">
        <v>0</v>
      </c>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row>
    <row r="179" spans="1:131">
      <c r="A179" s="7" t="s">
        <v>493</v>
      </c>
      <c r="B179" s="7" t="s">
        <v>359</v>
      </c>
      <c r="C179" s="29">
        <v>13</v>
      </c>
      <c r="D179" s="29">
        <v>1.0000000000000001E-5</v>
      </c>
      <c r="E179" s="29">
        <v>0</v>
      </c>
      <c r="F179" s="29">
        <v>0</v>
      </c>
      <c r="G179" s="29">
        <v>0</v>
      </c>
      <c r="H179" s="29">
        <v>0</v>
      </c>
      <c r="I179" s="29" t="s">
        <v>552</v>
      </c>
      <c r="J179" s="29"/>
      <c r="K179" s="29"/>
      <c r="L179" s="29">
        <v>1.0717520953171996E-5</v>
      </c>
      <c r="M179" s="29">
        <v>0</v>
      </c>
      <c r="N179" s="29">
        <v>0</v>
      </c>
      <c r="O179" s="29">
        <v>0</v>
      </c>
      <c r="P179" s="29">
        <v>0</v>
      </c>
      <c r="Q179" s="29">
        <v>0</v>
      </c>
      <c r="R179" s="29">
        <v>0</v>
      </c>
      <c r="S179" s="29">
        <v>0</v>
      </c>
      <c r="T179" s="29">
        <v>0</v>
      </c>
      <c r="U179" s="29">
        <v>0</v>
      </c>
      <c r="V179" s="29" t="s">
        <v>345</v>
      </c>
      <c r="W179" s="29" t="s">
        <v>345</v>
      </c>
      <c r="X179" s="29" t="s">
        <v>345</v>
      </c>
      <c r="Y179" s="29" t="s">
        <v>345</v>
      </c>
      <c r="Z179" s="29">
        <v>0</v>
      </c>
      <c r="AA179" s="29">
        <v>0</v>
      </c>
      <c r="AB179" s="29">
        <v>0</v>
      </c>
      <c r="AC179" s="29">
        <v>0</v>
      </c>
      <c r="AD179" s="29">
        <v>0</v>
      </c>
      <c r="AE179" s="29">
        <v>0</v>
      </c>
      <c r="AF179" s="29">
        <v>0</v>
      </c>
      <c r="AG179" s="29">
        <v>0</v>
      </c>
      <c r="AH179" s="29">
        <v>0</v>
      </c>
      <c r="AI179" s="29">
        <v>0</v>
      </c>
      <c r="AJ179" s="29">
        <v>0</v>
      </c>
      <c r="AK179" s="29">
        <v>0</v>
      </c>
      <c r="AL179" s="29">
        <v>0</v>
      </c>
      <c r="AM179" s="29">
        <v>5.5800831647479789E-6</v>
      </c>
      <c r="AN179" s="29">
        <v>0</v>
      </c>
      <c r="AO179" s="29">
        <v>0</v>
      </c>
      <c r="AP179" s="29">
        <v>0</v>
      </c>
      <c r="AQ179" s="29">
        <v>5.5800831647479789E-6</v>
      </c>
      <c r="AR179" s="29">
        <v>0</v>
      </c>
      <c r="AS179" s="33">
        <v>9999</v>
      </c>
      <c r="AT179" s="29">
        <v>5.5800831647479789E-6</v>
      </c>
      <c r="AU179" s="29">
        <v>0</v>
      </c>
      <c r="AV179" s="29">
        <v>0</v>
      </c>
      <c r="AW179" s="29">
        <v>0</v>
      </c>
      <c r="AX179" s="29">
        <v>5.5800831647479789E-6</v>
      </c>
      <c r="AY179" s="29">
        <v>0</v>
      </c>
      <c r="AZ179" s="33">
        <v>9999</v>
      </c>
      <c r="BA179" s="29">
        <v>5.5800831647479789E-6</v>
      </c>
      <c r="BB179" s="29">
        <v>0</v>
      </c>
      <c r="BC179" s="29">
        <v>0</v>
      </c>
      <c r="BD179" s="29">
        <v>0</v>
      </c>
      <c r="BE179" s="29">
        <v>5.5800831647479789E-6</v>
      </c>
      <c r="BF179" s="29">
        <v>0</v>
      </c>
      <c r="BG179" s="29">
        <v>0</v>
      </c>
      <c r="BH179" s="33">
        <v>9999</v>
      </c>
      <c r="BI179" s="29">
        <v>0</v>
      </c>
      <c r="BJ179" s="29">
        <v>0</v>
      </c>
      <c r="BK179" s="29">
        <v>0</v>
      </c>
      <c r="BL179" s="29">
        <v>0</v>
      </c>
      <c r="BM179" s="29">
        <v>0</v>
      </c>
      <c r="BN179" s="29">
        <v>5.5800831647479789E-6</v>
      </c>
      <c r="BO179" s="29">
        <v>0</v>
      </c>
      <c r="BP179" s="29">
        <v>0</v>
      </c>
      <c r="BQ179" s="29">
        <v>0</v>
      </c>
      <c r="BR179" s="29">
        <v>0</v>
      </c>
      <c r="BS179" s="29">
        <v>0</v>
      </c>
      <c r="BT179" s="29">
        <v>0</v>
      </c>
      <c r="BU179" s="29">
        <v>0</v>
      </c>
      <c r="BV179" s="29">
        <v>-7.2128907678384859</v>
      </c>
      <c r="BW179" s="29">
        <v>0</v>
      </c>
      <c r="BX179" s="29">
        <v>0</v>
      </c>
      <c r="BY179" s="29"/>
      <c r="BZ179" s="29">
        <v>0</v>
      </c>
      <c r="CA179" s="29">
        <v>0</v>
      </c>
      <c r="CB179" s="29">
        <v>-7.2128851877553215</v>
      </c>
      <c r="CC179" s="29">
        <v>0</v>
      </c>
      <c r="CD179" s="107">
        <v>7.7362646189361102E-7</v>
      </c>
      <c r="CE179" s="29">
        <v>49520512.247721292</v>
      </c>
      <c r="CF179" s="29">
        <v>1.018228403603893E-7</v>
      </c>
      <c r="CG179" s="29">
        <v>0</v>
      </c>
      <c r="CH179" s="29">
        <v>1.018228403603893E-7</v>
      </c>
      <c r="CI179" s="29">
        <v>5.090822452756698E-9</v>
      </c>
      <c r="CJ179" s="29">
        <v>0</v>
      </c>
      <c r="CK179" s="29">
        <v>5.090822452756698E-9</v>
      </c>
      <c r="CL179" s="29"/>
      <c r="CM179" s="29">
        <v>0</v>
      </c>
      <c r="CN179" s="29"/>
      <c r="CO179" s="29">
        <v>0</v>
      </c>
      <c r="CP179" s="29">
        <v>0</v>
      </c>
      <c r="CQ179" s="29">
        <v>0</v>
      </c>
      <c r="CR179" s="29">
        <v>0</v>
      </c>
      <c r="CS179" s="29">
        <v>0</v>
      </c>
      <c r="CT179" s="29">
        <v>0</v>
      </c>
      <c r="CU179" s="29">
        <v>0</v>
      </c>
      <c r="CV179" s="29">
        <v>9999</v>
      </c>
      <c r="CW179" s="33">
        <v>9999</v>
      </c>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row>
    <row r="180" spans="1:131">
      <c r="A180" s="7"/>
      <c r="B180" s="7"/>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row>
    <row r="181" spans="1:131">
      <c r="A181" s="7"/>
      <c r="B181" s="7"/>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row>
    <row r="182" spans="1:131" ht="13.5" thickBot="1">
      <c r="A182" s="27" t="s">
        <v>346</v>
      </c>
      <c r="B182" s="28"/>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row>
    <row r="183" spans="1:131" ht="26.25" thickBot="1">
      <c r="A183" s="100" t="s">
        <v>249</v>
      </c>
      <c r="B183" s="101"/>
      <c r="C183" s="102" t="s">
        <v>250</v>
      </c>
      <c r="D183" s="103"/>
      <c r="E183" s="103"/>
      <c r="F183" s="103"/>
      <c r="G183" s="103"/>
      <c r="H183" s="103"/>
      <c r="I183" s="103"/>
      <c r="J183" s="103"/>
      <c r="K183" s="104"/>
      <c r="L183" s="102" t="s">
        <v>251</v>
      </c>
      <c r="M183" s="103"/>
      <c r="N183" s="103"/>
      <c r="O183" s="103"/>
      <c r="P183" s="103"/>
      <c r="Q183" s="104"/>
      <c r="R183" s="102" t="s">
        <v>252</v>
      </c>
      <c r="S183" s="103"/>
      <c r="T183" s="103"/>
      <c r="U183" s="104"/>
      <c r="V183" s="102" t="s">
        <v>253</v>
      </c>
      <c r="W183" s="103"/>
      <c r="X183" s="103"/>
      <c r="Y183" s="104"/>
      <c r="Z183" s="102" t="s">
        <v>254</v>
      </c>
      <c r="AA183" s="103"/>
      <c r="AB183" s="103"/>
      <c r="AC183" s="104"/>
      <c r="AD183" s="102" t="s">
        <v>255</v>
      </c>
      <c r="AE183" s="103"/>
      <c r="AF183" s="103"/>
      <c r="AG183" s="104"/>
      <c r="AH183" s="102" t="s">
        <v>256</v>
      </c>
      <c r="AI183" s="103"/>
      <c r="AJ183" s="103"/>
      <c r="AK183" s="103"/>
      <c r="AL183" s="104"/>
      <c r="AM183" s="102" t="s">
        <v>257</v>
      </c>
      <c r="AN183" s="103"/>
      <c r="AO183" s="103"/>
      <c r="AP183" s="103"/>
      <c r="AQ183" s="103"/>
      <c r="AR183" s="103"/>
      <c r="AS183" s="104"/>
      <c r="AT183" s="102" t="s">
        <v>258</v>
      </c>
      <c r="AU183" s="103"/>
      <c r="AV183" s="103"/>
      <c r="AW183" s="103"/>
      <c r="AX183" s="103"/>
      <c r="AY183" s="103"/>
      <c r="AZ183" s="104"/>
      <c r="BA183" s="102" t="s">
        <v>259</v>
      </c>
      <c r="BB183" s="103"/>
      <c r="BC183" s="103"/>
      <c r="BD183" s="103"/>
      <c r="BE183" s="103"/>
      <c r="BF183" s="104"/>
      <c r="BG183" s="102" t="s">
        <v>260</v>
      </c>
      <c r="BH183" s="104"/>
      <c r="BI183" s="102" t="s">
        <v>261</v>
      </c>
      <c r="BJ183" s="103"/>
      <c r="BK183" s="103"/>
      <c r="BL183" s="103"/>
      <c r="BM183" s="104"/>
      <c r="BN183" s="102" t="s">
        <v>262</v>
      </c>
      <c r="BO183" s="103"/>
      <c r="BP183" s="103"/>
      <c r="BQ183" s="103"/>
      <c r="BR183" s="103"/>
      <c r="BS183" s="103"/>
      <c r="BT183" s="103"/>
      <c r="BU183" s="103"/>
      <c r="BV183" s="103"/>
      <c r="BW183" s="103"/>
      <c r="BX183" s="103"/>
      <c r="BY183" s="103"/>
      <c r="BZ183" s="103"/>
      <c r="CA183" s="103"/>
      <c r="CB183" s="103"/>
      <c r="CC183" s="104"/>
      <c r="CD183" s="102" t="s">
        <v>263</v>
      </c>
      <c r="CE183" s="104"/>
      <c r="CF183" s="102" t="s">
        <v>264</v>
      </c>
      <c r="CG183" s="103"/>
      <c r="CH183" s="103"/>
      <c r="CI183" s="103"/>
      <c r="CJ183" s="103"/>
      <c r="CK183" s="104"/>
      <c r="CL183" s="105"/>
      <c r="CM183" s="102" t="s">
        <v>5</v>
      </c>
      <c r="CN183" s="103"/>
      <c r="CO183" s="103"/>
      <c r="CP183" s="104"/>
      <c r="CQ183" s="102" t="s">
        <v>265</v>
      </c>
      <c r="CR183" s="103"/>
      <c r="CS183" s="103"/>
      <c r="CT183" s="103"/>
      <c r="CU183" s="104"/>
      <c r="CV183" s="102" t="s">
        <v>266</v>
      </c>
      <c r="CW183" s="104"/>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row>
    <row r="184" spans="1:131" ht="204">
      <c r="A184" s="30" t="s">
        <v>21</v>
      </c>
      <c r="B184" s="31" t="s">
        <v>22</v>
      </c>
      <c r="C184" s="32" t="s">
        <v>149</v>
      </c>
      <c r="D184" s="32" t="s">
        <v>267</v>
      </c>
      <c r="E184" s="32" t="s">
        <v>268</v>
      </c>
      <c r="F184" s="32" t="s">
        <v>269</v>
      </c>
      <c r="G184" s="32" t="s">
        <v>270</v>
      </c>
      <c r="H184" s="32" t="s">
        <v>271</v>
      </c>
      <c r="I184" s="32" t="s">
        <v>272</v>
      </c>
      <c r="J184" s="32" t="s">
        <v>273</v>
      </c>
      <c r="K184" s="32" t="s">
        <v>274</v>
      </c>
      <c r="L184" s="32" t="s">
        <v>275</v>
      </c>
      <c r="M184" s="32" t="s">
        <v>276</v>
      </c>
      <c r="N184" s="32" t="s">
        <v>277</v>
      </c>
      <c r="O184" s="32" t="s">
        <v>278</v>
      </c>
      <c r="P184" s="32" t="s">
        <v>279</v>
      </c>
      <c r="Q184" s="32" t="s">
        <v>280</v>
      </c>
      <c r="R184" s="32" t="s">
        <v>281</v>
      </c>
      <c r="S184" s="32" t="s">
        <v>282</v>
      </c>
      <c r="T184" s="32" t="s">
        <v>283</v>
      </c>
      <c r="U184" s="32" t="s">
        <v>189</v>
      </c>
      <c r="V184" s="32" t="s">
        <v>281</v>
      </c>
      <c r="W184" s="32" t="s">
        <v>282</v>
      </c>
      <c r="X184" s="32" t="s">
        <v>283</v>
      </c>
      <c r="Y184" s="32" t="s">
        <v>189</v>
      </c>
      <c r="Z184" s="32" t="s">
        <v>281</v>
      </c>
      <c r="AA184" s="32" t="s">
        <v>282</v>
      </c>
      <c r="AB184" s="32" t="s">
        <v>283</v>
      </c>
      <c r="AC184" s="32" t="s">
        <v>189</v>
      </c>
      <c r="AD184" s="32" t="s">
        <v>281</v>
      </c>
      <c r="AE184" s="32" t="s">
        <v>282</v>
      </c>
      <c r="AF184" s="32" t="s">
        <v>283</v>
      </c>
      <c r="AG184" s="32" t="s">
        <v>189</v>
      </c>
      <c r="AH184" s="32" t="s">
        <v>281</v>
      </c>
      <c r="AI184" s="32" t="s">
        <v>282</v>
      </c>
      <c r="AJ184" s="32" t="s">
        <v>283</v>
      </c>
      <c r="AK184" s="32" t="s">
        <v>189</v>
      </c>
      <c r="AL184" s="32" t="s">
        <v>284</v>
      </c>
      <c r="AM184" s="32" t="s">
        <v>285</v>
      </c>
      <c r="AN184" s="32" t="s">
        <v>286</v>
      </c>
      <c r="AO184" s="32" t="s">
        <v>287</v>
      </c>
      <c r="AP184" s="32" t="s">
        <v>288</v>
      </c>
      <c r="AQ184" s="32" t="s">
        <v>289</v>
      </c>
      <c r="AR184" s="32" t="s">
        <v>290</v>
      </c>
      <c r="AS184" s="32" t="s">
        <v>291</v>
      </c>
      <c r="AT184" s="32" t="s">
        <v>292</v>
      </c>
      <c r="AU184" s="32" t="s">
        <v>293</v>
      </c>
      <c r="AV184" s="32" t="s">
        <v>294</v>
      </c>
      <c r="AW184" s="32" t="s">
        <v>295</v>
      </c>
      <c r="AX184" s="32" t="s">
        <v>296</v>
      </c>
      <c r="AY184" s="32" t="s">
        <v>297</v>
      </c>
      <c r="AZ184" s="32" t="s">
        <v>298</v>
      </c>
      <c r="BA184" s="32" t="s">
        <v>299</v>
      </c>
      <c r="BB184" s="32" t="s">
        <v>300</v>
      </c>
      <c r="BC184" s="32" t="s">
        <v>301</v>
      </c>
      <c r="BD184" s="32" t="s">
        <v>302</v>
      </c>
      <c r="BE184" s="32" t="s">
        <v>303</v>
      </c>
      <c r="BF184" s="32" t="s">
        <v>304</v>
      </c>
      <c r="BG184" s="32" t="s">
        <v>305</v>
      </c>
      <c r="BH184" s="32" t="s">
        <v>306</v>
      </c>
      <c r="BI184" s="32" t="s">
        <v>307</v>
      </c>
      <c r="BJ184" s="32" t="s">
        <v>308</v>
      </c>
      <c r="BK184" s="32" t="s">
        <v>309</v>
      </c>
      <c r="BL184" s="32" t="s">
        <v>310</v>
      </c>
      <c r="BM184" s="32" t="s">
        <v>311</v>
      </c>
      <c r="BN184" s="32" t="s">
        <v>312</v>
      </c>
      <c r="BO184" s="32" t="s">
        <v>313</v>
      </c>
      <c r="BP184" s="32" t="s">
        <v>314</v>
      </c>
      <c r="BQ184" s="32" t="s">
        <v>315</v>
      </c>
      <c r="BR184" s="32" t="s">
        <v>316</v>
      </c>
      <c r="BS184" s="32" t="s">
        <v>317</v>
      </c>
      <c r="BT184" s="32" t="s">
        <v>318</v>
      </c>
      <c r="BU184" s="32" t="s">
        <v>319</v>
      </c>
      <c r="BV184" s="32" t="s">
        <v>320</v>
      </c>
      <c r="BW184" s="32" t="s">
        <v>321</v>
      </c>
      <c r="BX184" s="32" t="s">
        <v>322</v>
      </c>
      <c r="BY184" s="32" t="s">
        <v>323</v>
      </c>
      <c r="BZ184" s="32" t="s">
        <v>324</v>
      </c>
      <c r="CA184" s="32" t="s">
        <v>325</v>
      </c>
      <c r="CB184" s="32" t="s">
        <v>326</v>
      </c>
      <c r="CC184" s="32" t="s">
        <v>327</v>
      </c>
      <c r="CD184" s="32" t="s">
        <v>23</v>
      </c>
      <c r="CE184" s="32" t="s">
        <v>24</v>
      </c>
      <c r="CF184" s="32" t="s">
        <v>328</v>
      </c>
      <c r="CG184" s="32" t="s">
        <v>329</v>
      </c>
      <c r="CH184" s="32" t="s">
        <v>330</v>
      </c>
      <c r="CI184" s="32" t="s">
        <v>331</v>
      </c>
      <c r="CJ184" s="32" t="s">
        <v>332</v>
      </c>
      <c r="CK184" s="32" t="s">
        <v>333</v>
      </c>
      <c r="CL184" s="32"/>
      <c r="CM184" s="32" t="s">
        <v>334</v>
      </c>
      <c r="CN184" s="32" t="s">
        <v>335</v>
      </c>
      <c r="CO184" s="32" t="s">
        <v>336</v>
      </c>
      <c r="CP184" s="32" t="s">
        <v>337</v>
      </c>
      <c r="CQ184" s="32" t="s">
        <v>338</v>
      </c>
      <c r="CR184" s="32" t="s">
        <v>339</v>
      </c>
      <c r="CS184" s="32" t="s">
        <v>340</v>
      </c>
      <c r="CT184" s="32" t="s">
        <v>341</v>
      </c>
      <c r="CU184" s="32" t="s">
        <v>342</v>
      </c>
      <c r="CV184" s="32" t="s">
        <v>343</v>
      </c>
      <c r="CW184" s="32" t="s">
        <v>344</v>
      </c>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row>
    <row r="185" spans="1:131">
      <c r="A185" s="7" t="s">
        <v>487</v>
      </c>
      <c r="B185" s="7"/>
      <c r="C185" s="29">
        <v>13</v>
      </c>
      <c r="D185" s="29">
        <v>1100.8052222169863</v>
      </c>
      <c r="E185" s="29">
        <v>-0.31773482851790352</v>
      </c>
      <c r="F185" s="29">
        <v>724.5875237038573</v>
      </c>
      <c r="G185" s="29">
        <v>0</v>
      </c>
      <c r="H185" s="29">
        <v>0</v>
      </c>
      <c r="I185" s="29"/>
      <c r="J185" s="29"/>
      <c r="K185" s="29"/>
      <c r="L185" s="29">
        <v>1182.3091174891661</v>
      </c>
      <c r="M185" s="29">
        <v>0.30033181865349817</v>
      </c>
      <c r="N185" s="29">
        <v>0.29816415826833259</v>
      </c>
      <c r="O185" s="29">
        <v>-0.3209121756075915</v>
      </c>
      <c r="P185" s="29">
        <v>0</v>
      </c>
      <c r="Q185" s="29">
        <v>0</v>
      </c>
      <c r="R185" s="29">
        <v>144.49243163055851</v>
      </c>
      <c r="S185" s="29">
        <v>333.90003232343054</v>
      </c>
      <c r="T185" s="29">
        <v>0</v>
      </c>
      <c r="U185" s="29">
        <v>524.46844781047821</v>
      </c>
      <c r="V185" s="29">
        <v>43.475251422231437</v>
      </c>
      <c r="W185" s="29">
        <v>101.44225331854003</v>
      </c>
      <c r="X185" s="29">
        <v>0</v>
      </c>
      <c r="Y185" s="29">
        <v>0</v>
      </c>
      <c r="Z185" s="29">
        <v>0</v>
      </c>
      <c r="AA185" s="29">
        <v>0</v>
      </c>
      <c r="AB185" s="29">
        <v>0</v>
      </c>
      <c r="AC185" s="29">
        <v>0</v>
      </c>
      <c r="AD185" s="29">
        <v>0</v>
      </c>
      <c r="AE185" s="29">
        <v>0</v>
      </c>
      <c r="AF185" s="29">
        <v>0</v>
      </c>
      <c r="AG185" s="29">
        <v>0</v>
      </c>
      <c r="AH185" s="29">
        <v>187.96768305278994</v>
      </c>
      <c r="AI185" s="29">
        <v>435.34228564197053</v>
      </c>
      <c r="AJ185" s="29">
        <v>0</v>
      </c>
      <c r="AK185" s="29">
        <v>524.46844781047821</v>
      </c>
      <c r="AL185" s="29">
        <v>1147.7784165052387</v>
      </c>
      <c r="AM185" s="29">
        <v>606.09907340374866</v>
      </c>
      <c r="AN185" s="29">
        <v>106.121793109246</v>
      </c>
      <c r="AO185" s="29">
        <v>0</v>
      </c>
      <c r="AP185" s="29">
        <v>0</v>
      </c>
      <c r="AQ185" s="29">
        <v>712.22086651299469</v>
      </c>
      <c r="AR185" s="29">
        <v>187.96768305278994</v>
      </c>
      <c r="AS185" s="33">
        <v>3.7890601987841199</v>
      </c>
      <c r="AT185" s="29">
        <v>606.09907340374866</v>
      </c>
      <c r="AU185" s="29">
        <v>125.61659467241626</v>
      </c>
      <c r="AV185" s="29">
        <v>0</v>
      </c>
      <c r="AW185" s="29">
        <v>0</v>
      </c>
      <c r="AX185" s="29">
        <v>731.71566807616489</v>
      </c>
      <c r="AY185" s="29">
        <v>435.34228564197053</v>
      </c>
      <c r="AZ185" s="33">
        <v>1.6807824376562734</v>
      </c>
      <c r="BA185" s="29">
        <v>606.09907340374866</v>
      </c>
      <c r="BB185" s="29">
        <v>231.73838778166225</v>
      </c>
      <c r="BC185" s="29">
        <v>0</v>
      </c>
      <c r="BD185" s="29">
        <v>0</v>
      </c>
      <c r="BE185" s="29">
        <v>837.83746118541092</v>
      </c>
      <c r="BF185" s="29">
        <v>623.30996869476053</v>
      </c>
      <c r="BG185" s="29">
        <v>24.369703215790437</v>
      </c>
      <c r="BH185" s="33">
        <v>1.3441746534872221</v>
      </c>
      <c r="BI185" s="29">
        <v>11.6982867844356</v>
      </c>
      <c r="BJ185" s="29">
        <v>27.093800509320378</v>
      </c>
      <c r="BK185" s="29">
        <v>0</v>
      </c>
      <c r="BL185" s="29">
        <v>32.640623176440769</v>
      </c>
      <c r="BM185" s="29">
        <v>71.432710470196753</v>
      </c>
      <c r="BN185" s="29">
        <v>606.09907340374866</v>
      </c>
      <c r="BO185" s="29">
        <v>-2.4579812716281322</v>
      </c>
      <c r="BP185" s="29">
        <v>231.73838778166225</v>
      </c>
      <c r="BQ185" s="29">
        <v>0</v>
      </c>
      <c r="BR185" s="29">
        <v>0</v>
      </c>
      <c r="BS185" s="29">
        <v>0</v>
      </c>
      <c r="BT185" s="29">
        <v>0</v>
      </c>
      <c r="BU185" s="29">
        <v>0</v>
      </c>
      <c r="BV185" s="29">
        <v>-76.935541034460499</v>
      </c>
      <c r="BW185" s="29">
        <v>0</v>
      </c>
      <c r="BX185" s="29">
        <v>1002.8609117644672</v>
      </c>
      <c r="BY185" s="29">
        <v>144.91750474077148</v>
      </c>
      <c r="BZ185" s="29">
        <v>0</v>
      </c>
      <c r="CA185" s="29">
        <v>0</v>
      </c>
      <c r="CB185" s="29">
        <v>758.44393887932233</v>
      </c>
      <c r="CC185" s="29">
        <v>1147.7784165052387</v>
      </c>
      <c r="CD185" s="107">
        <v>0.68273844494599789</v>
      </c>
      <c r="CE185" s="29">
        <v>61.951432106144111</v>
      </c>
      <c r="CF185" s="29">
        <v>11.2319904128397</v>
      </c>
      <c r="CG185" s="29">
        <v>-3.7546724546088199E-2</v>
      </c>
      <c r="CH185" s="29">
        <v>11.194443688293612</v>
      </c>
      <c r="CI185" s="29">
        <v>0.56159683080735368</v>
      </c>
      <c r="CJ185" s="29">
        <v>-1.8773362273044104E-3</v>
      </c>
      <c r="CK185" s="29">
        <v>0.55971949458004921</v>
      </c>
      <c r="CL185" s="29"/>
      <c r="CM185" s="29">
        <v>-0.3209121756075915</v>
      </c>
      <c r="CN185" s="29"/>
      <c r="CO185" s="29">
        <v>0</v>
      </c>
      <c r="CP185" s="29">
        <v>0</v>
      </c>
      <c r="CQ185" s="29">
        <v>-2.4579812716281322</v>
      </c>
      <c r="CR185" s="29">
        <v>0</v>
      </c>
      <c r="CS185" s="29">
        <v>0</v>
      </c>
      <c r="CT185" s="29">
        <v>-2.4579812716281322</v>
      </c>
      <c r="CU185" s="29">
        <v>0</v>
      </c>
      <c r="CV185" s="29">
        <v>9999</v>
      </c>
      <c r="CW185" s="107">
        <v>0</v>
      </c>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row>
    <row r="186" spans="1:131">
      <c r="A186" s="7" t="s">
        <v>475</v>
      </c>
      <c r="B186" s="7"/>
      <c r="C186" s="29">
        <v>12.999999999999998</v>
      </c>
      <c r="D186" s="29">
        <v>1097.3426466445078</v>
      </c>
      <c r="E186" s="29">
        <v>-0.34795232134875137</v>
      </c>
      <c r="F186" s="29">
        <v>724.58752370386082</v>
      </c>
      <c r="G186" s="29">
        <v>0</v>
      </c>
      <c r="H186" s="29">
        <v>0</v>
      </c>
      <c r="I186" s="29"/>
      <c r="J186" s="29"/>
      <c r="K186" s="29"/>
      <c r="L186" s="29">
        <v>1178.5826717098373</v>
      </c>
      <c r="M186" s="29">
        <v>0.29849283256234388</v>
      </c>
      <c r="N186" s="29">
        <v>0.29633844515410274</v>
      </c>
      <c r="O186" s="29">
        <v>-0.35143184325305316</v>
      </c>
      <c r="P186" s="29">
        <v>0</v>
      </c>
      <c r="Q186" s="29">
        <v>0</v>
      </c>
      <c r="R186" s="29">
        <v>144.49243163055922</v>
      </c>
      <c r="S186" s="29">
        <v>333.90003232343213</v>
      </c>
      <c r="T186" s="29">
        <v>0</v>
      </c>
      <c r="U186" s="29">
        <v>524.46844781048094</v>
      </c>
      <c r="V186" s="29">
        <v>43.475251422231651</v>
      </c>
      <c r="W186" s="29">
        <v>101.44225331854051</v>
      </c>
      <c r="X186" s="29">
        <v>0</v>
      </c>
      <c r="Y186" s="29">
        <v>0</v>
      </c>
      <c r="Z186" s="29">
        <v>0</v>
      </c>
      <c r="AA186" s="29">
        <v>0</v>
      </c>
      <c r="AB186" s="29">
        <v>0</v>
      </c>
      <c r="AC186" s="29">
        <v>0</v>
      </c>
      <c r="AD186" s="29">
        <v>0</v>
      </c>
      <c r="AE186" s="29">
        <v>0</v>
      </c>
      <c r="AF186" s="29">
        <v>0</v>
      </c>
      <c r="AG186" s="29">
        <v>0</v>
      </c>
      <c r="AH186" s="29">
        <v>187.96768305279087</v>
      </c>
      <c r="AI186" s="29">
        <v>435.34228564197264</v>
      </c>
      <c r="AJ186" s="29">
        <v>0</v>
      </c>
      <c r="AK186" s="29">
        <v>524.46844781048094</v>
      </c>
      <c r="AL186" s="29">
        <v>1147.7784165052444</v>
      </c>
      <c r="AM186" s="29">
        <v>604.21688889299139</v>
      </c>
      <c r="AN186" s="29">
        <v>105.47199016005729</v>
      </c>
      <c r="AO186" s="29">
        <v>0</v>
      </c>
      <c r="AP186" s="29">
        <v>0</v>
      </c>
      <c r="AQ186" s="29">
        <v>709.68887905304871</v>
      </c>
      <c r="AR186" s="29">
        <v>187.96768305279087</v>
      </c>
      <c r="AS186" s="33">
        <v>3.7755898648478419</v>
      </c>
      <c r="AT186" s="29">
        <v>604.21688889299139</v>
      </c>
      <c r="AU186" s="29">
        <v>124.84742152434147</v>
      </c>
      <c r="AV186" s="29">
        <v>0</v>
      </c>
      <c r="AW186" s="29">
        <v>0</v>
      </c>
      <c r="AX186" s="29">
        <v>729.06431041733288</v>
      </c>
      <c r="AY186" s="29">
        <v>435.34228564197264</v>
      </c>
      <c r="AZ186" s="33">
        <v>1.6746921548000473</v>
      </c>
      <c r="BA186" s="29">
        <v>604.21688889299139</v>
      </c>
      <c r="BB186" s="29">
        <v>230.31941168439874</v>
      </c>
      <c r="BC186" s="29">
        <v>0</v>
      </c>
      <c r="BD186" s="29">
        <v>0</v>
      </c>
      <c r="BE186" s="29">
        <v>834.53630057739019</v>
      </c>
      <c r="BF186" s="29">
        <v>623.30996869476348</v>
      </c>
      <c r="BG186" s="29">
        <v>24.53534549722675</v>
      </c>
      <c r="BH186" s="33">
        <v>1.338878475383513</v>
      </c>
      <c r="BI186" s="29">
        <v>11.735274458240495</v>
      </c>
      <c r="BJ186" s="29">
        <v>27.179465758757324</v>
      </c>
      <c r="BK186" s="29">
        <v>0</v>
      </c>
      <c r="BL186" s="29">
        <v>32.743826384319483</v>
      </c>
      <c r="BM186" s="29">
        <v>71.65856660131729</v>
      </c>
      <c r="BN186" s="29">
        <v>604.21688889299139</v>
      </c>
      <c r="BO186" s="29">
        <v>-2.6917423352176546</v>
      </c>
      <c r="BP186" s="29">
        <v>230.31941168439874</v>
      </c>
      <c r="BQ186" s="29">
        <v>0</v>
      </c>
      <c r="BR186" s="29">
        <v>0</v>
      </c>
      <c r="BS186" s="29">
        <v>0</v>
      </c>
      <c r="BT186" s="29">
        <v>0</v>
      </c>
      <c r="BU186" s="29">
        <v>0</v>
      </c>
      <c r="BV186" s="29">
        <v>-75.167924923327107</v>
      </c>
      <c r="BW186" s="29">
        <v>0</v>
      </c>
      <c r="BX186" s="29">
        <v>1002.8609117644723</v>
      </c>
      <c r="BY186" s="29">
        <v>144.91750474077216</v>
      </c>
      <c r="BZ186" s="29">
        <v>0</v>
      </c>
      <c r="CA186" s="29">
        <v>0</v>
      </c>
      <c r="CB186" s="29">
        <v>756.67663331884546</v>
      </c>
      <c r="CC186" s="29">
        <v>1147.7784165052444</v>
      </c>
      <c r="CD186" s="107">
        <v>0.68089945280961583</v>
      </c>
      <c r="CE186" s="29">
        <v>62.140138137376972</v>
      </c>
      <c r="CF186" s="29">
        <v>11.19659094350575</v>
      </c>
      <c r="CG186" s="29">
        <v>-4.1117525660607286E-2</v>
      </c>
      <c r="CH186" s="29">
        <v>11.155473417845144</v>
      </c>
      <c r="CI186" s="29">
        <v>0.55982676906217232</v>
      </c>
      <c r="CJ186" s="29">
        <v>-2.0558762830303616E-3</v>
      </c>
      <c r="CK186" s="29">
        <v>0.55777089277914194</v>
      </c>
      <c r="CL186" s="29"/>
      <c r="CM186" s="29">
        <v>-0.35143184325305316</v>
      </c>
      <c r="CN186" s="29"/>
      <c r="CO186" s="29">
        <v>0</v>
      </c>
      <c r="CP186" s="29">
        <v>0</v>
      </c>
      <c r="CQ186" s="29">
        <v>-2.6917423352176546</v>
      </c>
      <c r="CR186" s="29">
        <v>0</v>
      </c>
      <c r="CS186" s="29">
        <v>0</v>
      </c>
      <c r="CT186" s="29">
        <v>-2.6917423352176546</v>
      </c>
      <c r="CU186" s="29">
        <v>0</v>
      </c>
      <c r="CV186" s="29">
        <v>9999</v>
      </c>
      <c r="CW186" s="107">
        <v>0</v>
      </c>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row>
    <row r="187" spans="1:131">
      <c r="A187" s="7" t="s">
        <v>471</v>
      </c>
      <c r="B187" s="7"/>
      <c r="C187" s="29">
        <v>13.000000000000002</v>
      </c>
      <c r="D187" s="29">
        <v>1044.455461088565</v>
      </c>
      <c r="E187" s="29">
        <v>0</v>
      </c>
      <c r="F187" s="29">
        <v>724.5875237038573</v>
      </c>
      <c r="G187" s="29">
        <v>0</v>
      </c>
      <c r="H187" s="29">
        <v>0</v>
      </c>
      <c r="I187" s="29"/>
      <c r="J187" s="29"/>
      <c r="K187" s="29"/>
      <c r="L187" s="29">
        <v>1121.4904168963346</v>
      </c>
      <c r="M187" s="29">
        <v>0.24957019939213321</v>
      </c>
      <c r="N187" s="29">
        <v>0.247768913611074</v>
      </c>
      <c r="O187" s="29">
        <v>0</v>
      </c>
      <c r="P187" s="29">
        <v>0</v>
      </c>
      <c r="Q187" s="29">
        <v>0</v>
      </c>
      <c r="R187" s="29">
        <v>144.49243163055851</v>
      </c>
      <c r="S187" s="29">
        <v>333.90003232343054</v>
      </c>
      <c r="T187" s="29">
        <v>0</v>
      </c>
      <c r="U187" s="29">
        <v>524.46844781047821</v>
      </c>
      <c r="V187" s="29">
        <v>43.475251422231437</v>
      </c>
      <c r="W187" s="29">
        <v>101.44225331854003</v>
      </c>
      <c r="X187" s="29">
        <v>0</v>
      </c>
      <c r="Y187" s="29">
        <v>0</v>
      </c>
      <c r="Z187" s="29">
        <v>0</v>
      </c>
      <c r="AA187" s="29">
        <v>0</v>
      </c>
      <c r="AB187" s="29">
        <v>0</v>
      </c>
      <c r="AC187" s="29">
        <v>0</v>
      </c>
      <c r="AD187" s="29">
        <v>0</v>
      </c>
      <c r="AE187" s="29">
        <v>0</v>
      </c>
      <c r="AF187" s="29">
        <v>0</v>
      </c>
      <c r="AG187" s="29">
        <v>0</v>
      </c>
      <c r="AH187" s="29">
        <v>187.96768305278994</v>
      </c>
      <c r="AI187" s="29">
        <v>435.34228564197053</v>
      </c>
      <c r="AJ187" s="29">
        <v>0</v>
      </c>
      <c r="AK187" s="29">
        <v>524.46844781047821</v>
      </c>
      <c r="AL187" s="29">
        <v>1147.7784165052387</v>
      </c>
      <c r="AM187" s="29">
        <v>576.03452670284992</v>
      </c>
      <c r="AN187" s="29">
        <v>88.185251848661409</v>
      </c>
      <c r="AO187" s="29">
        <v>0</v>
      </c>
      <c r="AP187" s="29">
        <v>0</v>
      </c>
      <c r="AQ187" s="29">
        <v>664.21977855151135</v>
      </c>
      <c r="AR187" s="29">
        <v>187.96768305278994</v>
      </c>
      <c r="AS187" s="33">
        <v>3.533691365259676</v>
      </c>
      <c r="AT187" s="29">
        <v>576.03452670284992</v>
      </c>
      <c r="AU187" s="29">
        <v>104.38507221749063</v>
      </c>
      <c r="AV187" s="29">
        <v>0</v>
      </c>
      <c r="AW187" s="29">
        <v>0</v>
      </c>
      <c r="AX187" s="29">
        <v>680.4195989203406</v>
      </c>
      <c r="AY187" s="29">
        <v>435.34228564197053</v>
      </c>
      <c r="AZ187" s="33">
        <v>1.5629531551638056</v>
      </c>
      <c r="BA187" s="29">
        <v>576.03452670284992</v>
      </c>
      <c r="BB187" s="29">
        <v>192.57032406615204</v>
      </c>
      <c r="BC187" s="29">
        <v>0</v>
      </c>
      <c r="BD187" s="29">
        <v>0</v>
      </c>
      <c r="BE187" s="29">
        <v>768.60485076900204</v>
      </c>
      <c r="BF187" s="29">
        <v>623.30996869476053</v>
      </c>
      <c r="BG187" s="29">
        <v>28.261121548784736</v>
      </c>
      <c r="BH187" s="33">
        <v>1.2331021311571442</v>
      </c>
      <c r="BI187" s="29">
        <v>12.332687748253582</v>
      </c>
      <c r="BJ187" s="29">
        <v>28.563103961469785</v>
      </c>
      <c r="BK187" s="29">
        <v>0</v>
      </c>
      <c r="BL187" s="29">
        <v>34.410732183368545</v>
      </c>
      <c r="BM187" s="29">
        <v>75.306523893091921</v>
      </c>
      <c r="BN187" s="29">
        <v>576.03452670284992</v>
      </c>
      <c r="BO187" s="29">
        <v>0</v>
      </c>
      <c r="BP187" s="29">
        <v>192.57032406615204</v>
      </c>
      <c r="BQ187" s="29">
        <v>0</v>
      </c>
      <c r="BR187" s="29">
        <v>0</v>
      </c>
      <c r="BS187" s="29">
        <v>0</v>
      </c>
      <c r="BT187" s="29">
        <v>0</v>
      </c>
      <c r="BU187" s="29">
        <v>0</v>
      </c>
      <c r="BV187" s="29">
        <v>0</v>
      </c>
      <c r="BW187" s="29">
        <v>0</v>
      </c>
      <c r="BX187" s="29">
        <v>1002.8609117644672</v>
      </c>
      <c r="BY187" s="29">
        <v>144.91750474077148</v>
      </c>
      <c r="BZ187" s="29">
        <v>0</v>
      </c>
      <c r="CA187" s="29">
        <v>0</v>
      </c>
      <c r="CB187" s="29">
        <v>768.60485076900204</v>
      </c>
      <c r="CC187" s="29">
        <v>1147.7784165052387</v>
      </c>
      <c r="CD187" s="107">
        <v>0.66964567351706594</v>
      </c>
      <c r="CE187" s="29">
        <v>62.671853732153288</v>
      </c>
      <c r="CF187" s="29">
        <v>10.654286564049743</v>
      </c>
      <c r="CG187" s="29">
        <v>0</v>
      </c>
      <c r="CH187" s="29">
        <v>10.654286564049743</v>
      </c>
      <c r="CI187" s="29">
        <v>0.53270794802575883</v>
      </c>
      <c r="CJ187" s="29">
        <v>0</v>
      </c>
      <c r="CK187" s="29">
        <v>0.53270794802575883</v>
      </c>
      <c r="CL187" s="29"/>
      <c r="CM187" s="29">
        <v>0</v>
      </c>
      <c r="CN187" s="29"/>
      <c r="CO187" s="29">
        <v>0</v>
      </c>
      <c r="CP187" s="29">
        <v>0</v>
      </c>
      <c r="CQ187" s="29">
        <v>0</v>
      </c>
      <c r="CR187" s="29">
        <v>0</v>
      </c>
      <c r="CS187" s="29">
        <v>0</v>
      </c>
      <c r="CT187" s="29">
        <v>0</v>
      </c>
      <c r="CU187" s="29">
        <v>0</v>
      </c>
      <c r="CV187" s="29">
        <v>9999</v>
      </c>
      <c r="CW187" s="33">
        <v>9999</v>
      </c>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row>
    <row r="188" spans="1:131">
      <c r="A188" s="7" t="s">
        <v>485</v>
      </c>
      <c r="B188" s="7"/>
      <c r="C188" s="29">
        <v>13</v>
      </c>
      <c r="D188" s="29">
        <v>1273.7918017430604</v>
      </c>
      <c r="E188" s="29">
        <v>-18.980054965029311</v>
      </c>
      <c r="F188" s="29">
        <v>724.5875237038573</v>
      </c>
      <c r="G188" s="29">
        <v>0</v>
      </c>
      <c r="H188" s="29">
        <v>0</v>
      </c>
      <c r="I188" s="29"/>
      <c r="J188" s="29"/>
      <c r="K188" s="29"/>
      <c r="L188" s="29">
        <v>1367.6145062653491</v>
      </c>
      <c r="M188" s="29">
        <v>0.29239115223298567</v>
      </c>
      <c r="N188" s="29">
        <v>0.29028080401710243</v>
      </c>
      <c r="O188" s="29">
        <v>-19.169855554849573</v>
      </c>
      <c r="P188" s="29">
        <v>0</v>
      </c>
      <c r="Q188" s="29">
        <v>0</v>
      </c>
      <c r="R188" s="29">
        <v>144.49243163055851</v>
      </c>
      <c r="S188" s="29">
        <v>333.90003232343054</v>
      </c>
      <c r="T188" s="29">
        <v>0</v>
      </c>
      <c r="U188" s="29">
        <v>524.46844781047821</v>
      </c>
      <c r="V188" s="29">
        <v>43.475251422231437</v>
      </c>
      <c r="W188" s="29">
        <v>101.44225331854003</v>
      </c>
      <c r="X188" s="29">
        <v>0</v>
      </c>
      <c r="Y188" s="29">
        <v>0</v>
      </c>
      <c r="Z188" s="29">
        <v>0</v>
      </c>
      <c r="AA188" s="29">
        <v>0</v>
      </c>
      <c r="AB188" s="29">
        <v>0</v>
      </c>
      <c r="AC188" s="29">
        <v>0</v>
      </c>
      <c r="AD188" s="29">
        <v>0</v>
      </c>
      <c r="AE188" s="29">
        <v>0</v>
      </c>
      <c r="AF188" s="29">
        <v>0</v>
      </c>
      <c r="AG188" s="29">
        <v>0</v>
      </c>
      <c r="AH188" s="29">
        <v>187.96768305278994</v>
      </c>
      <c r="AI188" s="29">
        <v>435.34228564197053</v>
      </c>
      <c r="AJ188" s="29">
        <v>0</v>
      </c>
      <c r="AK188" s="29">
        <v>524.46844781047821</v>
      </c>
      <c r="AL188" s="29">
        <v>1147.7784165052387</v>
      </c>
      <c r="AM188" s="29">
        <v>702.48617629252226</v>
      </c>
      <c r="AN188" s="29">
        <v>103.31597065991242</v>
      </c>
      <c r="AO188" s="29">
        <v>0</v>
      </c>
      <c r="AP188" s="29">
        <v>0</v>
      </c>
      <c r="AQ188" s="29">
        <v>805.80214695243467</v>
      </c>
      <c r="AR188" s="29">
        <v>187.96768305278994</v>
      </c>
      <c r="AS188" s="33">
        <v>4.2869185482598544</v>
      </c>
      <c r="AT188" s="29">
        <v>702.48617629252226</v>
      </c>
      <c r="AU188" s="29">
        <v>122.29533660643293</v>
      </c>
      <c r="AV188" s="29">
        <v>0</v>
      </c>
      <c r="AW188" s="29">
        <v>0</v>
      </c>
      <c r="AX188" s="29">
        <v>824.78151289895516</v>
      </c>
      <c r="AY188" s="29">
        <v>435.34228564197053</v>
      </c>
      <c r="AZ188" s="33">
        <v>1.8945586957690184</v>
      </c>
      <c r="BA188" s="29">
        <v>702.48617629252226</v>
      </c>
      <c r="BB188" s="29">
        <v>225.61130726634534</v>
      </c>
      <c r="BC188" s="29">
        <v>0</v>
      </c>
      <c r="BD188" s="29">
        <v>0</v>
      </c>
      <c r="BE188" s="29">
        <v>928.09748355886757</v>
      </c>
      <c r="BF188" s="29">
        <v>623.30996869476053</v>
      </c>
      <c r="BG188" s="29">
        <v>21.397377314435836</v>
      </c>
      <c r="BH188" s="33">
        <v>1.4889822562959261</v>
      </c>
      <c r="BI188" s="29">
        <v>10.113223471145089</v>
      </c>
      <c r="BJ188" s="29">
        <v>23.422716871494565</v>
      </c>
      <c r="BK188" s="29">
        <v>0</v>
      </c>
      <c r="BL188" s="29">
        <v>28.217970930579249</v>
      </c>
      <c r="BM188" s="29">
        <v>61.753911273218911</v>
      </c>
      <c r="BN188" s="29">
        <v>702.48617629252226</v>
      </c>
      <c r="BO188" s="29">
        <v>-148.75172358337144</v>
      </c>
      <c r="BP188" s="29">
        <v>225.61130726634534</v>
      </c>
      <c r="BQ188" s="29">
        <v>0</v>
      </c>
      <c r="BR188" s="29">
        <v>0</v>
      </c>
      <c r="BS188" s="29">
        <v>0</v>
      </c>
      <c r="BT188" s="29">
        <v>0</v>
      </c>
      <c r="BU188" s="29">
        <v>0</v>
      </c>
      <c r="BV188" s="29">
        <v>-200.60837512666075</v>
      </c>
      <c r="BW188" s="29">
        <v>0</v>
      </c>
      <c r="BX188" s="29">
        <v>1002.8609117644672</v>
      </c>
      <c r="BY188" s="29">
        <v>144.91750474077148</v>
      </c>
      <c r="BZ188" s="29">
        <v>0</v>
      </c>
      <c r="CA188" s="29">
        <v>0</v>
      </c>
      <c r="CB188" s="29">
        <v>578.7373848488354</v>
      </c>
      <c r="CC188" s="29">
        <v>1147.7784165052387</v>
      </c>
      <c r="CD188" s="107">
        <v>0.61991423914801769</v>
      </c>
      <c r="CE188" s="29">
        <v>68.411966327303134</v>
      </c>
      <c r="CF188" s="29">
        <v>12.99251024751883</v>
      </c>
      <c r="CG188" s="29">
        <v>-2.2428730999173965</v>
      </c>
      <c r="CH188" s="29">
        <v>10.749637147601433</v>
      </c>
      <c r="CI188" s="29">
        <v>0.64961689047604088</v>
      </c>
      <c r="CJ188" s="29">
        <v>-0.11214365499586997</v>
      </c>
      <c r="CK188" s="29">
        <v>0.5374732354801709</v>
      </c>
      <c r="CL188" s="29"/>
      <c r="CM188" s="29">
        <v>-19.169855554849573</v>
      </c>
      <c r="CN188" s="29"/>
      <c r="CO188" s="29">
        <v>0</v>
      </c>
      <c r="CP188" s="29">
        <v>0</v>
      </c>
      <c r="CQ188" s="29">
        <v>-148.75172358337144</v>
      </c>
      <c r="CR188" s="29">
        <v>0</v>
      </c>
      <c r="CS188" s="29">
        <v>0</v>
      </c>
      <c r="CT188" s="29">
        <v>-148.75172358337144</v>
      </c>
      <c r="CU188" s="29">
        <v>0</v>
      </c>
      <c r="CV188" s="29">
        <v>9999</v>
      </c>
      <c r="CW188" s="107">
        <v>0</v>
      </c>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row>
    <row r="189" spans="1:131">
      <c r="A189" s="7" t="s">
        <v>484</v>
      </c>
      <c r="B189" s="7"/>
      <c r="C189" s="29">
        <v>13.000000000000002</v>
      </c>
      <c r="D189" s="29">
        <v>1258.4924938475081</v>
      </c>
      <c r="E189" s="29">
        <v>-18.818740530000344</v>
      </c>
      <c r="F189" s="29">
        <v>724.5875237038573</v>
      </c>
      <c r="G189" s="29">
        <v>0</v>
      </c>
      <c r="H189" s="29">
        <v>0</v>
      </c>
      <c r="I189" s="29"/>
      <c r="J189" s="29"/>
      <c r="K189" s="29"/>
      <c r="L189" s="29">
        <v>1351.2543502462204</v>
      </c>
      <c r="M189" s="29">
        <v>0.29652353065166898</v>
      </c>
      <c r="N189" s="29">
        <v>0.29438335678149835</v>
      </c>
      <c r="O189" s="29">
        <v>-19.006927975128907</v>
      </c>
      <c r="P189" s="29">
        <v>0</v>
      </c>
      <c r="Q189" s="29">
        <v>0</v>
      </c>
      <c r="R189" s="29">
        <v>144.49243163055851</v>
      </c>
      <c r="S189" s="29">
        <v>333.90003232343054</v>
      </c>
      <c r="T189" s="29">
        <v>0</v>
      </c>
      <c r="U189" s="29">
        <v>524.46844781047821</v>
      </c>
      <c r="V189" s="29">
        <v>43.475251422231437</v>
      </c>
      <c r="W189" s="29">
        <v>101.44225331854003</v>
      </c>
      <c r="X189" s="29">
        <v>0</v>
      </c>
      <c r="Y189" s="29">
        <v>0</v>
      </c>
      <c r="Z189" s="29">
        <v>0</v>
      </c>
      <c r="AA189" s="29">
        <v>0</v>
      </c>
      <c r="AB189" s="29">
        <v>0</v>
      </c>
      <c r="AC189" s="29">
        <v>0</v>
      </c>
      <c r="AD189" s="29">
        <v>0</v>
      </c>
      <c r="AE189" s="29">
        <v>0</v>
      </c>
      <c r="AF189" s="29">
        <v>0</v>
      </c>
      <c r="AG189" s="29">
        <v>0</v>
      </c>
      <c r="AH189" s="29">
        <v>187.96768305278994</v>
      </c>
      <c r="AI189" s="29">
        <v>435.34228564197053</v>
      </c>
      <c r="AJ189" s="29">
        <v>0</v>
      </c>
      <c r="AK189" s="29">
        <v>524.46844781047821</v>
      </c>
      <c r="AL189" s="29">
        <v>1147.7784165052387</v>
      </c>
      <c r="AM189" s="29">
        <v>693.86679287509992</v>
      </c>
      <c r="AN189" s="29">
        <v>104.77614031347343</v>
      </c>
      <c r="AO189" s="29">
        <v>0</v>
      </c>
      <c r="AP189" s="29">
        <v>0</v>
      </c>
      <c r="AQ189" s="29">
        <v>798.64293318857335</v>
      </c>
      <c r="AR189" s="29">
        <v>187.96768305278994</v>
      </c>
      <c r="AS189" s="33">
        <v>4.248831076798866</v>
      </c>
      <c r="AT189" s="29">
        <v>693.86679287509992</v>
      </c>
      <c r="AU189" s="29">
        <v>124.02374256481615</v>
      </c>
      <c r="AV189" s="29">
        <v>0</v>
      </c>
      <c r="AW189" s="29">
        <v>0</v>
      </c>
      <c r="AX189" s="29">
        <v>817.89053543991611</v>
      </c>
      <c r="AY189" s="29">
        <v>435.34228564197053</v>
      </c>
      <c r="AZ189" s="33">
        <v>1.8787298234395653</v>
      </c>
      <c r="BA189" s="29">
        <v>693.86679287509992</v>
      </c>
      <c r="BB189" s="29">
        <v>228.79988287828959</v>
      </c>
      <c r="BC189" s="29">
        <v>0</v>
      </c>
      <c r="BD189" s="29">
        <v>0</v>
      </c>
      <c r="BE189" s="29">
        <v>922.66667575338954</v>
      </c>
      <c r="BF189" s="29">
        <v>623.30996869476053</v>
      </c>
      <c r="BG189" s="29">
        <v>21.48281160492397</v>
      </c>
      <c r="BH189" s="33">
        <v>1.4802694038176472</v>
      </c>
      <c r="BI189" s="29">
        <v>10.235668156569487</v>
      </c>
      <c r="BJ189" s="29">
        <v>23.706304711444684</v>
      </c>
      <c r="BK189" s="29">
        <v>0</v>
      </c>
      <c r="BL189" s="29">
        <v>28.559616755351911</v>
      </c>
      <c r="BM189" s="29">
        <v>62.501589623366087</v>
      </c>
      <c r="BN189" s="29">
        <v>693.86679287509992</v>
      </c>
      <c r="BO189" s="29">
        <v>-147.48745958130988</v>
      </c>
      <c r="BP189" s="29">
        <v>228.79988287828959</v>
      </c>
      <c r="BQ189" s="29">
        <v>0</v>
      </c>
      <c r="BR189" s="29">
        <v>0</v>
      </c>
      <c r="BS189" s="29">
        <v>0</v>
      </c>
      <c r="BT189" s="29">
        <v>0</v>
      </c>
      <c r="BU189" s="29">
        <v>0</v>
      </c>
      <c r="BV189" s="29">
        <v>-198.48255657834383</v>
      </c>
      <c r="BW189" s="29">
        <v>0</v>
      </c>
      <c r="BX189" s="29">
        <v>1002.8609117644672</v>
      </c>
      <c r="BY189" s="29">
        <v>144.91750474077148</v>
      </c>
      <c r="BZ189" s="29">
        <v>0</v>
      </c>
      <c r="CA189" s="29">
        <v>0</v>
      </c>
      <c r="CB189" s="29">
        <v>576.69665959373583</v>
      </c>
      <c r="CC189" s="29">
        <v>1147.7784165052387</v>
      </c>
      <c r="CD189" s="107">
        <v>0.61768545196551228</v>
      </c>
      <c r="CE189" s="29">
        <v>68.882019400713702</v>
      </c>
      <c r="CF189" s="29">
        <v>12.837070812966939</v>
      </c>
      <c r="CG189" s="29">
        <v>-2.223810573090081</v>
      </c>
      <c r="CH189" s="29">
        <v>10.613260239876858</v>
      </c>
      <c r="CI189" s="29">
        <v>0.64184581636695448</v>
      </c>
      <c r="CJ189" s="29">
        <v>-0.11119052865450406</v>
      </c>
      <c r="CK189" s="29">
        <v>0.53065528771245041</v>
      </c>
      <c r="CL189" s="29"/>
      <c r="CM189" s="29">
        <v>-19.006927975128907</v>
      </c>
      <c r="CN189" s="29"/>
      <c r="CO189" s="29">
        <v>0</v>
      </c>
      <c r="CP189" s="29">
        <v>0</v>
      </c>
      <c r="CQ189" s="29">
        <v>-147.48745958130988</v>
      </c>
      <c r="CR189" s="29">
        <v>0</v>
      </c>
      <c r="CS189" s="29">
        <v>0</v>
      </c>
      <c r="CT189" s="29">
        <v>-147.48745958130988</v>
      </c>
      <c r="CU189" s="29">
        <v>0</v>
      </c>
      <c r="CV189" s="29">
        <v>9999</v>
      </c>
      <c r="CW189" s="107">
        <v>0</v>
      </c>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7"/>
      <c r="DY189" s="7"/>
      <c r="DZ189" s="7"/>
      <c r="EA189" s="7"/>
    </row>
    <row r="190" spans="1:131">
      <c r="A190" s="7" t="s">
        <v>473</v>
      </c>
      <c r="B190" s="7"/>
      <c r="C190" s="29">
        <v>12.999999999999998</v>
      </c>
      <c r="D190" s="29">
        <v>1265.4748925129541</v>
      </c>
      <c r="E190" s="29">
        <v>-19.245784201841445</v>
      </c>
      <c r="F190" s="29">
        <v>724.58752370386082</v>
      </c>
      <c r="G190" s="29">
        <v>0</v>
      </c>
      <c r="H190" s="29">
        <v>0</v>
      </c>
      <c r="I190" s="29"/>
      <c r="J190" s="29"/>
      <c r="K190" s="29"/>
      <c r="L190" s="29">
        <v>1358.6845229206428</v>
      </c>
      <c r="M190" s="29">
        <v>0.29047592546166073</v>
      </c>
      <c r="N190" s="29">
        <v>0.28837940049374183</v>
      </c>
      <c r="O190" s="29">
        <v>-19.438242084592225</v>
      </c>
      <c r="P190" s="29">
        <v>0</v>
      </c>
      <c r="Q190" s="29">
        <v>0</v>
      </c>
      <c r="R190" s="29">
        <v>144.49243163055922</v>
      </c>
      <c r="S190" s="29">
        <v>333.90003232343213</v>
      </c>
      <c r="T190" s="29">
        <v>0</v>
      </c>
      <c r="U190" s="29">
        <v>524.46844781048094</v>
      </c>
      <c r="V190" s="29">
        <v>43.475251422231651</v>
      </c>
      <c r="W190" s="29">
        <v>101.44225331854051</v>
      </c>
      <c r="X190" s="29">
        <v>0</v>
      </c>
      <c r="Y190" s="29">
        <v>0</v>
      </c>
      <c r="Z190" s="29">
        <v>0</v>
      </c>
      <c r="AA190" s="29">
        <v>0</v>
      </c>
      <c r="AB190" s="29">
        <v>0</v>
      </c>
      <c r="AC190" s="29">
        <v>0</v>
      </c>
      <c r="AD190" s="29">
        <v>0</v>
      </c>
      <c r="AE190" s="29">
        <v>0</v>
      </c>
      <c r="AF190" s="29">
        <v>0</v>
      </c>
      <c r="AG190" s="29">
        <v>0</v>
      </c>
      <c r="AH190" s="29">
        <v>187.96768305279087</v>
      </c>
      <c r="AI190" s="29">
        <v>435.34228564197264</v>
      </c>
      <c r="AJ190" s="29">
        <v>0</v>
      </c>
      <c r="AK190" s="29">
        <v>524.46844781048094</v>
      </c>
      <c r="AL190" s="29">
        <v>1147.7784165052444</v>
      </c>
      <c r="AM190" s="29">
        <v>697.89389279800332</v>
      </c>
      <c r="AN190" s="29">
        <v>102.63922818189239</v>
      </c>
      <c r="AO190" s="29">
        <v>0</v>
      </c>
      <c r="AP190" s="29">
        <v>0</v>
      </c>
      <c r="AQ190" s="29">
        <v>800.53312097989567</v>
      </c>
      <c r="AR190" s="29">
        <v>187.96768305279087</v>
      </c>
      <c r="AS190" s="33">
        <v>4.2588869957771696</v>
      </c>
      <c r="AT190" s="29">
        <v>697.89389279800332</v>
      </c>
      <c r="AU190" s="29">
        <v>121.49427508015869</v>
      </c>
      <c r="AV190" s="29">
        <v>0</v>
      </c>
      <c r="AW190" s="29">
        <v>0</v>
      </c>
      <c r="AX190" s="29">
        <v>819.38816787816199</v>
      </c>
      <c r="AY190" s="29">
        <v>435.34228564197264</v>
      </c>
      <c r="AZ190" s="33">
        <v>1.8821699497209659</v>
      </c>
      <c r="BA190" s="29">
        <v>697.89389279800332</v>
      </c>
      <c r="BB190" s="29">
        <v>224.13350326205105</v>
      </c>
      <c r="BC190" s="29">
        <v>0</v>
      </c>
      <c r="BD190" s="29">
        <v>0</v>
      </c>
      <c r="BE190" s="29">
        <v>922.02739606005434</v>
      </c>
      <c r="BF190" s="29">
        <v>623.30996869476348</v>
      </c>
      <c r="BG190" s="29">
        <v>21.618044896394199</v>
      </c>
      <c r="BH190" s="33">
        <v>1.4792437829781824</v>
      </c>
      <c r="BI190" s="29">
        <v>10.179692850633236</v>
      </c>
      <c r="BJ190" s="29">
        <v>23.57666318354995</v>
      </c>
      <c r="BK190" s="29">
        <v>0</v>
      </c>
      <c r="BL190" s="29">
        <v>28.403434153410409</v>
      </c>
      <c r="BM190" s="29">
        <v>62.159790187593586</v>
      </c>
      <c r="BN190" s="29">
        <v>697.89389279800332</v>
      </c>
      <c r="BO190" s="29">
        <v>-150.83431407402765</v>
      </c>
      <c r="BP190" s="29">
        <v>224.13350326205105</v>
      </c>
      <c r="BQ190" s="29">
        <v>0</v>
      </c>
      <c r="BR190" s="29">
        <v>0</v>
      </c>
      <c r="BS190" s="29">
        <v>0</v>
      </c>
      <c r="BT190" s="29">
        <v>0</v>
      </c>
      <c r="BU190" s="29">
        <v>0</v>
      </c>
      <c r="BV190" s="29">
        <v>-202.92387703611325</v>
      </c>
      <c r="BW190" s="29">
        <v>0</v>
      </c>
      <c r="BX190" s="29">
        <v>1002.8609117644723</v>
      </c>
      <c r="BY190" s="29">
        <v>144.91750474077216</v>
      </c>
      <c r="BZ190" s="29">
        <v>0</v>
      </c>
      <c r="CA190" s="29">
        <v>0</v>
      </c>
      <c r="CB190" s="29">
        <v>568.2692049499135</v>
      </c>
      <c r="CC190" s="29">
        <v>1147.7784165052444</v>
      </c>
      <c r="CD190" s="107">
        <v>0.6140558887367662</v>
      </c>
      <c r="CE190" s="29">
        <v>69.179824093007909</v>
      </c>
      <c r="CF190" s="29">
        <v>12.907674146645606</v>
      </c>
      <c r="CG190" s="29">
        <v>-2.2742743238972891</v>
      </c>
      <c r="CH190" s="29">
        <v>10.633399822748316</v>
      </c>
      <c r="CI190" s="29">
        <v>0.64537514838730503</v>
      </c>
      <c r="CJ190" s="29">
        <v>-0.11371371619486449</v>
      </c>
      <c r="CK190" s="29">
        <v>0.53166143219244055</v>
      </c>
      <c r="CL190" s="29"/>
      <c r="CM190" s="29">
        <v>-19.438242084592225</v>
      </c>
      <c r="CN190" s="29"/>
      <c r="CO190" s="29">
        <v>0</v>
      </c>
      <c r="CP190" s="29">
        <v>0</v>
      </c>
      <c r="CQ190" s="29">
        <v>-150.83431407402765</v>
      </c>
      <c r="CR190" s="29">
        <v>0</v>
      </c>
      <c r="CS190" s="29">
        <v>0</v>
      </c>
      <c r="CT190" s="29">
        <v>-150.83431407402765</v>
      </c>
      <c r="CU190" s="29">
        <v>0</v>
      </c>
      <c r="CV190" s="29">
        <v>9999</v>
      </c>
      <c r="CW190" s="107">
        <v>0</v>
      </c>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row>
    <row r="191" spans="1:131">
      <c r="A191" s="7" t="s">
        <v>472</v>
      </c>
      <c r="B191" s="7"/>
      <c r="C191" s="29">
        <v>13</v>
      </c>
      <c r="D191" s="29">
        <v>1249.9938106672405</v>
      </c>
      <c r="E191" s="29">
        <v>-19.089591168950285</v>
      </c>
      <c r="F191" s="29">
        <v>724.58752370386082</v>
      </c>
      <c r="G191" s="29">
        <v>0</v>
      </c>
      <c r="H191" s="29">
        <v>0</v>
      </c>
      <c r="I191" s="29"/>
      <c r="J191" s="29"/>
      <c r="K191" s="29"/>
      <c r="L191" s="29">
        <v>1342.1286397245815</v>
      </c>
      <c r="M191" s="29">
        <v>0.29447890126290738</v>
      </c>
      <c r="N191" s="29">
        <v>0.29235348461076388</v>
      </c>
      <c r="O191" s="29">
        <v>-19.280487121041585</v>
      </c>
      <c r="P191" s="29">
        <v>0</v>
      </c>
      <c r="Q191" s="29">
        <v>0</v>
      </c>
      <c r="R191" s="29">
        <v>144.49243163055922</v>
      </c>
      <c r="S191" s="29">
        <v>333.90003232343213</v>
      </c>
      <c r="T191" s="29">
        <v>0</v>
      </c>
      <c r="U191" s="29">
        <v>524.46844781048094</v>
      </c>
      <c r="V191" s="29">
        <v>43.475251422231651</v>
      </c>
      <c r="W191" s="29">
        <v>101.44225331854051</v>
      </c>
      <c r="X191" s="29">
        <v>0</v>
      </c>
      <c r="Y191" s="29">
        <v>0</v>
      </c>
      <c r="Z191" s="29">
        <v>0</v>
      </c>
      <c r="AA191" s="29">
        <v>0</v>
      </c>
      <c r="AB191" s="29">
        <v>0</v>
      </c>
      <c r="AC191" s="29">
        <v>0</v>
      </c>
      <c r="AD191" s="29">
        <v>0</v>
      </c>
      <c r="AE191" s="29">
        <v>0</v>
      </c>
      <c r="AF191" s="29">
        <v>0</v>
      </c>
      <c r="AG191" s="29">
        <v>0</v>
      </c>
      <c r="AH191" s="29">
        <v>187.96768305279087</v>
      </c>
      <c r="AI191" s="29">
        <v>435.34228564197264</v>
      </c>
      <c r="AJ191" s="29">
        <v>0</v>
      </c>
      <c r="AK191" s="29">
        <v>524.46844781048094</v>
      </c>
      <c r="AL191" s="29">
        <v>1147.7784165052444</v>
      </c>
      <c r="AM191" s="29">
        <v>689.17892297742412</v>
      </c>
      <c r="AN191" s="29">
        <v>104.05367361663113</v>
      </c>
      <c r="AO191" s="29">
        <v>0</v>
      </c>
      <c r="AP191" s="29">
        <v>0</v>
      </c>
      <c r="AQ191" s="29">
        <v>793.23259659405528</v>
      </c>
      <c r="AR191" s="29">
        <v>187.96768305279087</v>
      </c>
      <c r="AS191" s="33">
        <v>4.2200477428413867</v>
      </c>
      <c r="AT191" s="29">
        <v>689.17892297742412</v>
      </c>
      <c r="AU191" s="29">
        <v>123.16855718241179</v>
      </c>
      <c r="AV191" s="29">
        <v>0</v>
      </c>
      <c r="AW191" s="29">
        <v>0</v>
      </c>
      <c r="AX191" s="29">
        <v>812.34748015983587</v>
      </c>
      <c r="AY191" s="29">
        <v>435.34228564197264</v>
      </c>
      <c r="AZ191" s="33">
        <v>1.8659971864711389</v>
      </c>
      <c r="BA191" s="29">
        <v>689.17892297742412</v>
      </c>
      <c r="BB191" s="29">
        <v>227.22223079904293</v>
      </c>
      <c r="BC191" s="29">
        <v>0</v>
      </c>
      <c r="BD191" s="29">
        <v>0</v>
      </c>
      <c r="BE191" s="29">
        <v>916.40115377646703</v>
      </c>
      <c r="BF191" s="29">
        <v>623.30996869476348</v>
      </c>
      <c r="BG191" s="29">
        <v>21.715376734718298</v>
      </c>
      <c r="BH191" s="33">
        <v>1.4702173874989493</v>
      </c>
      <c r="BI191" s="29">
        <v>10.30526487168887</v>
      </c>
      <c r="BJ191" s="29">
        <v>23.867494084751666</v>
      </c>
      <c r="BK191" s="29">
        <v>0</v>
      </c>
      <c r="BL191" s="29">
        <v>28.753805887007704</v>
      </c>
      <c r="BM191" s="29">
        <v>62.926564843448233</v>
      </c>
      <c r="BN191" s="29">
        <v>689.17892297742412</v>
      </c>
      <c r="BO191" s="29">
        <v>-149.61018785853005</v>
      </c>
      <c r="BP191" s="29">
        <v>227.22223079904293</v>
      </c>
      <c r="BQ191" s="29">
        <v>0</v>
      </c>
      <c r="BR191" s="29">
        <v>0</v>
      </c>
      <c r="BS191" s="29">
        <v>0</v>
      </c>
      <c r="BT191" s="29">
        <v>0</v>
      </c>
      <c r="BU191" s="29">
        <v>0</v>
      </c>
      <c r="BV191" s="29">
        <v>-200.81982092324824</v>
      </c>
      <c r="BW191" s="29">
        <v>0</v>
      </c>
      <c r="BX191" s="29">
        <v>1002.8609117644723</v>
      </c>
      <c r="BY191" s="29">
        <v>144.91750474077216</v>
      </c>
      <c r="BZ191" s="29">
        <v>0</v>
      </c>
      <c r="CA191" s="29">
        <v>0</v>
      </c>
      <c r="CB191" s="29">
        <v>565.97114499468876</v>
      </c>
      <c r="CC191" s="29">
        <v>1147.7784165052444</v>
      </c>
      <c r="CD191" s="107">
        <v>0.61166466448144918</v>
      </c>
      <c r="CE191" s="29">
        <v>69.681389746023285</v>
      </c>
      <c r="CF191" s="29">
        <v>12.750375527136207</v>
      </c>
      <c r="CG191" s="29">
        <v>-2.2558169931618641</v>
      </c>
      <c r="CH191" s="29">
        <v>10.494558533974342</v>
      </c>
      <c r="CI191" s="29">
        <v>0.63751110386917598</v>
      </c>
      <c r="CJ191" s="29">
        <v>-0.11279084965809325</v>
      </c>
      <c r="CK191" s="29">
        <v>0.5247202542110827</v>
      </c>
      <c r="CL191" s="29"/>
      <c r="CM191" s="29">
        <v>-19.280487121041585</v>
      </c>
      <c r="CN191" s="29"/>
      <c r="CO191" s="29">
        <v>0</v>
      </c>
      <c r="CP191" s="29">
        <v>0</v>
      </c>
      <c r="CQ191" s="29">
        <v>-149.61018785853005</v>
      </c>
      <c r="CR191" s="29">
        <v>0</v>
      </c>
      <c r="CS191" s="29">
        <v>0</v>
      </c>
      <c r="CT191" s="29">
        <v>-149.61018785853005</v>
      </c>
      <c r="CU191" s="29">
        <v>0</v>
      </c>
      <c r="CV191" s="29">
        <v>9999</v>
      </c>
      <c r="CW191" s="107">
        <v>0</v>
      </c>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row>
    <row r="192" spans="1:131">
      <c r="A192" s="7" t="s">
        <v>483</v>
      </c>
      <c r="B192" s="7"/>
      <c r="C192" s="29">
        <v>13.000000000000002</v>
      </c>
      <c r="D192" s="29">
        <v>939.91777931051615</v>
      </c>
      <c r="E192" s="29">
        <v>0</v>
      </c>
      <c r="F192" s="29">
        <v>724.5875237038573</v>
      </c>
      <c r="G192" s="29">
        <v>0</v>
      </c>
      <c r="H192" s="29">
        <v>0</v>
      </c>
      <c r="I192" s="29"/>
      <c r="J192" s="29"/>
      <c r="K192" s="29"/>
      <c r="L192" s="29">
        <v>1009.2424439729974</v>
      </c>
      <c r="M192" s="29">
        <v>0.22459116393548048</v>
      </c>
      <c r="N192" s="29">
        <v>0.22297016563065936</v>
      </c>
      <c r="O192" s="29">
        <v>0</v>
      </c>
      <c r="P192" s="29">
        <v>0</v>
      </c>
      <c r="Q192" s="29">
        <v>0</v>
      </c>
      <c r="R192" s="29">
        <v>144.49243163055851</v>
      </c>
      <c r="S192" s="29">
        <v>333.90003232343054</v>
      </c>
      <c r="T192" s="29">
        <v>0</v>
      </c>
      <c r="U192" s="29">
        <v>524.46844781047821</v>
      </c>
      <c r="V192" s="29">
        <v>43.475251422231437</v>
      </c>
      <c r="W192" s="29">
        <v>101.44225331854003</v>
      </c>
      <c r="X192" s="29">
        <v>0</v>
      </c>
      <c r="Y192" s="29">
        <v>0</v>
      </c>
      <c r="Z192" s="29">
        <v>0</v>
      </c>
      <c r="AA192" s="29">
        <v>0</v>
      </c>
      <c r="AB192" s="29">
        <v>0</v>
      </c>
      <c r="AC192" s="29">
        <v>0</v>
      </c>
      <c r="AD192" s="29">
        <v>0</v>
      </c>
      <c r="AE192" s="29">
        <v>0</v>
      </c>
      <c r="AF192" s="29">
        <v>0</v>
      </c>
      <c r="AG192" s="29">
        <v>0</v>
      </c>
      <c r="AH192" s="29">
        <v>187.96768305278994</v>
      </c>
      <c r="AI192" s="29">
        <v>435.34228564197053</v>
      </c>
      <c r="AJ192" s="29">
        <v>0</v>
      </c>
      <c r="AK192" s="29">
        <v>524.46844781047821</v>
      </c>
      <c r="AL192" s="29">
        <v>1147.7784165052387</v>
      </c>
      <c r="AM192" s="29">
        <v>518.38025970438889</v>
      </c>
      <c r="AN192" s="29">
        <v>79.358947514062223</v>
      </c>
      <c r="AO192" s="29">
        <v>0</v>
      </c>
      <c r="AP192" s="29">
        <v>0</v>
      </c>
      <c r="AQ192" s="29">
        <v>597.73920721845116</v>
      </c>
      <c r="AR192" s="29">
        <v>187.96768305278994</v>
      </c>
      <c r="AS192" s="33">
        <v>3.1800105077135976</v>
      </c>
      <c r="AT192" s="29">
        <v>518.38025970438889</v>
      </c>
      <c r="AU192" s="29">
        <v>93.937356799476888</v>
      </c>
      <c r="AV192" s="29">
        <v>0</v>
      </c>
      <c r="AW192" s="29">
        <v>0</v>
      </c>
      <c r="AX192" s="29">
        <v>612.31761650386579</v>
      </c>
      <c r="AY192" s="29">
        <v>435.34228564197053</v>
      </c>
      <c r="AZ192" s="33">
        <v>1.4065199653209002</v>
      </c>
      <c r="BA192" s="29">
        <v>518.38025970438889</v>
      </c>
      <c r="BB192" s="29">
        <v>173.29630431353914</v>
      </c>
      <c r="BC192" s="29">
        <v>0</v>
      </c>
      <c r="BD192" s="29">
        <v>0</v>
      </c>
      <c r="BE192" s="29">
        <v>691.67656401792806</v>
      </c>
      <c r="BF192" s="29">
        <v>623.30996869476053</v>
      </c>
      <c r="BG192" s="29">
        <v>32.809552644871076</v>
      </c>
      <c r="BH192" s="33">
        <v>1.1096831412247912</v>
      </c>
      <c r="BI192" s="29">
        <v>13.704329625490148</v>
      </c>
      <c r="BJ192" s="29">
        <v>31.739893185129613</v>
      </c>
      <c r="BK192" s="29">
        <v>0</v>
      </c>
      <c r="BL192" s="29">
        <v>38.237894781867332</v>
      </c>
      <c r="BM192" s="29">
        <v>83.682117592487103</v>
      </c>
      <c r="BN192" s="29">
        <v>518.38025970438889</v>
      </c>
      <c r="BO192" s="29">
        <v>0</v>
      </c>
      <c r="BP192" s="29">
        <v>173.29630431353914</v>
      </c>
      <c r="BQ192" s="29">
        <v>0</v>
      </c>
      <c r="BR192" s="29">
        <v>0</v>
      </c>
      <c r="BS192" s="29">
        <v>0</v>
      </c>
      <c r="BT192" s="29">
        <v>0</v>
      </c>
      <c r="BU192" s="29">
        <v>0</v>
      </c>
      <c r="BV192" s="29">
        <v>0</v>
      </c>
      <c r="BW192" s="29">
        <v>0</v>
      </c>
      <c r="BX192" s="29">
        <v>1002.8609117644672</v>
      </c>
      <c r="BY192" s="29">
        <v>144.91750474077148</v>
      </c>
      <c r="BZ192" s="29">
        <v>0</v>
      </c>
      <c r="CA192" s="29">
        <v>0</v>
      </c>
      <c r="CB192" s="29">
        <v>691.67656401792806</v>
      </c>
      <c r="CC192" s="29">
        <v>1147.7784165052387</v>
      </c>
      <c r="CD192" s="107">
        <v>0.60262203407165316</v>
      </c>
      <c r="CE192" s="29">
        <v>71.047447426738415</v>
      </c>
      <c r="CF192" s="29">
        <v>9.5879180496686303</v>
      </c>
      <c r="CG192" s="29">
        <v>0</v>
      </c>
      <c r="CH192" s="29">
        <v>9.5879180496686303</v>
      </c>
      <c r="CI192" s="29">
        <v>0.47939016088717357</v>
      </c>
      <c r="CJ192" s="29">
        <v>0</v>
      </c>
      <c r="CK192" s="29">
        <v>0.47939016088717357</v>
      </c>
      <c r="CL192" s="29"/>
      <c r="CM192" s="29">
        <v>0</v>
      </c>
      <c r="CN192" s="29"/>
      <c r="CO192" s="29">
        <v>0</v>
      </c>
      <c r="CP192" s="29">
        <v>0</v>
      </c>
      <c r="CQ192" s="29">
        <v>0</v>
      </c>
      <c r="CR192" s="29">
        <v>0</v>
      </c>
      <c r="CS192" s="29">
        <v>0</v>
      </c>
      <c r="CT192" s="29">
        <v>0</v>
      </c>
      <c r="CU192" s="29">
        <v>0</v>
      </c>
      <c r="CV192" s="29">
        <v>9999</v>
      </c>
      <c r="CW192" s="33">
        <v>9999</v>
      </c>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7"/>
      <c r="DY192" s="7"/>
      <c r="DZ192" s="7"/>
      <c r="EA192" s="7"/>
    </row>
    <row r="193" spans="1:131">
      <c r="A193" s="7" t="s">
        <v>488</v>
      </c>
      <c r="B193" s="7"/>
      <c r="C193" s="29">
        <v>12.999999999999998</v>
      </c>
      <c r="D193" s="29">
        <v>968.21514232707716</v>
      </c>
      <c r="E193" s="29">
        <v>-0.55017463396988797</v>
      </c>
      <c r="F193" s="29">
        <v>724.5875237038573</v>
      </c>
      <c r="G193" s="29">
        <v>0</v>
      </c>
      <c r="H193" s="29">
        <v>0</v>
      </c>
      <c r="I193" s="29"/>
      <c r="J193" s="29"/>
      <c r="K193" s="29"/>
      <c r="L193" s="29">
        <v>1038.3745091059893</v>
      </c>
      <c r="M193" s="29">
        <v>0.18208105295500426</v>
      </c>
      <c r="N193" s="29">
        <v>0.18076687356785393</v>
      </c>
      <c r="O193" s="29">
        <v>-0.55567637836890937</v>
      </c>
      <c r="P193" s="29">
        <v>0</v>
      </c>
      <c r="Q193" s="29">
        <v>0</v>
      </c>
      <c r="R193" s="29">
        <v>144.49243163055851</v>
      </c>
      <c r="S193" s="29">
        <v>333.90003232343054</v>
      </c>
      <c r="T193" s="29">
        <v>0</v>
      </c>
      <c r="U193" s="29">
        <v>524.46844781047821</v>
      </c>
      <c r="V193" s="29">
        <v>43.475251422231437</v>
      </c>
      <c r="W193" s="29">
        <v>101.44225331854003</v>
      </c>
      <c r="X193" s="29">
        <v>0</v>
      </c>
      <c r="Y193" s="29">
        <v>0</v>
      </c>
      <c r="Z193" s="29">
        <v>0</v>
      </c>
      <c r="AA193" s="29">
        <v>0</v>
      </c>
      <c r="AB193" s="29">
        <v>0</v>
      </c>
      <c r="AC193" s="29">
        <v>0</v>
      </c>
      <c r="AD193" s="29">
        <v>0</v>
      </c>
      <c r="AE193" s="29">
        <v>0</v>
      </c>
      <c r="AF193" s="29">
        <v>0</v>
      </c>
      <c r="AG193" s="29">
        <v>0</v>
      </c>
      <c r="AH193" s="29">
        <v>187.96768305278994</v>
      </c>
      <c r="AI193" s="29">
        <v>435.34228564197053</v>
      </c>
      <c r="AJ193" s="29">
        <v>0</v>
      </c>
      <c r="AK193" s="29">
        <v>524.46844781047821</v>
      </c>
      <c r="AL193" s="29">
        <v>1147.7784165052387</v>
      </c>
      <c r="AM193" s="29">
        <v>530.98883795684981</v>
      </c>
      <c r="AN193" s="29">
        <v>64.338064203240123</v>
      </c>
      <c r="AO193" s="29">
        <v>0</v>
      </c>
      <c r="AP193" s="29">
        <v>0</v>
      </c>
      <c r="AQ193" s="29">
        <v>595.32690216008996</v>
      </c>
      <c r="AR193" s="29">
        <v>187.96768305278994</v>
      </c>
      <c r="AS193" s="33">
        <v>3.1671768917473697</v>
      </c>
      <c r="AT193" s="29">
        <v>530.98883795684981</v>
      </c>
      <c r="AU193" s="29">
        <v>76.157104928546062</v>
      </c>
      <c r="AV193" s="29">
        <v>0</v>
      </c>
      <c r="AW193" s="29">
        <v>0</v>
      </c>
      <c r="AX193" s="29">
        <v>607.14594288539593</v>
      </c>
      <c r="AY193" s="29">
        <v>435.34228564197053</v>
      </c>
      <c r="AZ193" s="33">
        <v>1.3946404080414057</v>
      </c>
      <c r="BA193" s="29">
        <v>530.98883795684981</v>
      </c>
      <c r="BB193" s="29">
        <v>140.49516913178621</v>
      </c>
      <c r="BC193" s="29">
        <v>0</v>
      </c>
      <c r="BD193" s="29">
        <v>0</v>
      </c>
      <c r="BE193" s="29">
        <v>671.48400708863608</v>
      </c>
      <c r="BF193" s="29">
        <v>623.30996869476053</v>
      </c>
      <c r="BG193" s="29">
        <v>34.213434290675067</v>
      </c>
      <c r="BH193" s="33">
        <v>1.0772874505677394</v>
      </c>
      <c r="BI193" s="29">
        <v>13.319848477549121</v>
      </c>
      <c r="BJ193" s="29">
        <v>30.849416167950618</v>
      </c>
      <c r="BK193" s="29">
        <v>0</v>
      </c>
      <c r="BL193" s="29">
        <v>37.165113399461355</v>
      </c>
      <c r="BM193" s="29">
        <v>81.334378044961099</v>
      </c>
      <c r="BN193" s="29">
        <v>530.98883795684981</v>
      </c>
      <c r="BO193" s="29">
        <v>-4.3101044737761951</v>
      </c>
      <c r="BP193" s="29">
        <v>140.49516913178621</v>
      </c>
      <c r="BQ193" s="29">
        <v>0</v>
      </c>
      <c r="BR193" s="29">
        <v>0</v>
      </c>
      <c r="BS193" s="29">
        <v>0</v>
      </c>
      <c r="BT193" s="29">
        <v>0</v>
      </c>
      <c r="BU193" s="29">
        <v>0</v>
      </c>
      <c r="BV193" s="29">
        <v>-124.69781025350562</v>
      </c>
      <c r="BW193" s="29">
        <v>0</v>
      </c>
      <c r="BX193" s="29">
        <v>1002.8609117644672</v>
      </c>
      <c r="BY193" s="29">
        <v>144.91750474077148</v>
      </c>
      <c r="BZ193" s="29">
        <v>0</v>
      </c>
      <c r="CA193" s="29">
        <v>0</v>
      </c>
      <c r="CB193" s="29">
        <v>542.47609236135418</v>
      </c>
      <c r="CC193" s="29">
        <v>1147.7784165052387</v>
      </c>
      <c r="CD193" s="107">
        <v>0.52591728988861597</v>
      </c>
      <c r="CE193" s="29">
        <v>80.520363180245837</v>
      </c>
      <c r="CF193" s="29">
        <v>9.8646929233828136</v>
      </c>
      <c r="CG193" s="29">
        <v>-6.5014136269162442E-2</v>
      </c>
      <c r="CH193" s="29">
        <v>9.7996787871136508</v>
      </c>
      <c r="CI193" s="29">
        <v>0.49322789182534466</v>
      </c>
      <c r="CJ193" s="29">
        <v>-3.2507068134581202E-3</v>
      </c>
      <c r="CK193" s="29">
        <v>0.48997718501188653</v>
      </c>
      <c r="CL193" s="29"/>
      <c r="CM193" s="29">
        <v>-0.55567637836890937</v>
      </c>
      <c r="CN193" s="29"/>
      <c r="CO193" s="29">
        <v>0</v>
      </c>
      <c r="CP193" s="29">
        <v>0</v>
      </c>
      <c r="CQ193" s="29">
        <v>-4.3101044737761951</v>
      </c>
      <c r="CR193" s="29">
        <v>0</v>
      </c>
      <c r="CS193" s="29">
        <v>0</v>
      </c>
      <c r="CT193" s="29">
        <v>-4.3101044737761951</v>
      </c>
      <c r="CU193" s="29">
        <v>0</v>
      </c>
      <c r="CV193" s="29">
        <v>9999</v>
      </c>
      <c r="CW193" s="107">
        <v>0</v>
      </c>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row>
    <row r="194" spans="1:131">
      <c r="A194" s="7" t="s">
        <v>476</v>
      </c>
      <c r="B194" s="7"/>
      <c r="C194" s="29">
        <v>13</v>
      </c>
      <c r="D194" s="29">
        <v>956.72735019900813</v>
      </c>
      <c r="E194" s="29">
        <v>-0.61395224043789309</v>
      </c>
      <c r="F194" s="29">
        <v>724.58752370386082</v>
      </c>
      <c r="G194" s="29">
        <v>0</v>
      </c>
      <c r="H194" s="29">
        <v>0</v>
      </c>
      <c r="I194" s="29"/>
      <c r="J194" s="29"/>
      <c r="K194" s="29"/>
      <c r="L194" s="29">
        <v>1026.0267452906901</v>
      </c>
      <c r="M194" s="29">
        <v>0.1788373356834887</v>
      </c>
      <c r="N194" s="29">
        <v>0.17754656799297994</v>
      </c>
      <c r="O194" s="29">
        <v>-0.6200917606766263</v>
      </c>
      <c r="P194" s="29">
        <v>0</v>
      </c>
      <c r="Q194" s="29">
        <v>0</v>
      </c>
      <c r="R194" s="29">
        <v>144.49243163055922</v>
      </c>
      <c r="S194" s="29">
        <v>333.90003232343213</v>
      </c>
      <c r="T194" s="29">
        <v>0</v>
      </c>
      <c r="U194" s="29">
        <v>524.46844781048094</v>
      </c>
      <c r="V194" s="29">
        <v>43.475251422231651</v>
      </c>
      <c r="W194" s="29">
        <v>101.44225331854051</v>
      </c>
      <c r="X194" s="29">
        <v>0</v>
      </c>
      <c r="Y194" s="29">
        <v>0</v>
      </c>
      <c r="Z194" s="29">
        <v>0</v>
      </c>
      <c r="AA194" s="29">
        <v>0</v>
      </c>
      <c r="AB194" s="29">
        <v>0</v>
      </c>
      <c r="AC194" s="29">
        <v>0</v>
      </c>
      <c r="AD194" s="29">
        <v>0</v>
      </c>
      <c r="AE194" s="29">
        <v>0</v>
      </c>
      <c r="AF194" s="29">
        <v>0</v>
      </c>
      <c r="AG194" s="29">
        <v>0</v>
      </c>
      <c r="AH194" s="29">
        <v>187.96768305279087</v>
      </c>
      <c r="AI194" s="29">
        <v>435.34228564197264</v>
      </c>
      <c r="AJ194" s="29">
        <v>0</v>
      </c>
      <c r="AK194" s="29">
        <v>524.46844781048094</v>
      </c>
      <c r="AL194" s="29">
        <v>1147.7784165052444</v>
      </c>
      <c r="AM194" s="29">
        <v>524.62278478234418</v>
      </c>
      <c r="AN194" s="29">
        <v>63.191901619681808</v>
      </c>
      <c r="AO194" s="29">
        <v>0</v>
      </c>
      <c r="AP194" s="29">
        <v>0</v>
      </c>
      <c r="AQ194" s="29">
        <v>587.81468640202604</v>
      </c>
      <c r="AR194" s="29">
        <v>187.96768305279087</v>
      </c>
      <c r="AS194" s="33">
        <v>3.1272114272799638</v>
      </c>
      <c r="AT194" s="29">
        <v>524.62278478234418</v>
      </c>
      <c r="AU194" s="29">
        <v>74.800389814061305</v>
      </c>
      <c r="AV194" s="29">
        <v>0</v>
      </c>
      <c r="AW194" s="29">
        <v>0</v>
      </c>
      <c r="AX194" s="29">
        <v>599.42317459640549</v>
      </c>
      <c r="AY194" s="29">
        <v>435.34228564197264</v>
      </c>
      <c r="AZ194" s="33">
        <v>1.3769008763126991</v>
      </c>
      <c r="BA194" s="29">
        <v>524.62278478234418</v>
      </c>
      <c r="BB194" s="29">
        <v>137.99229143374311</v>
      </c>
      <c r="BC194" s="29">
        <v>0</v>
      </c>
      <c r="BD194" s="29">
        <v>0</v>
      </c>
      <c r="BE194" s="29">
        <v>662.61507621608735</v>
      </c>
      <c r="BF194" s="29">
        <v>623.30996869476348</v>
      </c>
      <c r="BG194" s="29">
        <v>34.804671829654012</v>
      </c>
      <c r="BH194" s="33">
        <v>1.063058685879243</v>
      </c>
      <c r="BI194" s="29">
        <v>13.480146777580103</v>
      </c>
      <c r="BJ194" s="29">
        <v>31.220674818302822</v>
      </c>
      <c r="BK194" s="29">
        <v>0</v>
      </c>
      <c r="BL194" s="29">
        <v>37.612378584829941</v>
      </c>
      <c r="BM194" s="29">
        <v>82.313200180712855</v>
      </c>
      <c r="BN194" s="29">
        <v>524.62278478234418</v>
      </c>
      <c r="BO194" s="29">
        <v>-4.809742461411104</v>
      </c>
      <c r="BP194" s="29">
        <v>137.99229143374311</v>
      </c>
      <c r="BQ194" s="29">
        <v>0</v>
      </c>
      <c r="BR194" s="29">
        <v>0</v>
      </c>
      <c r="BS194" s="29">
        <v>0</v>
      </c>
      <c r="BT194" s="29">
        <v>0</v>
      </c>
      <c r="BU194" s="29">
        <v>0</v>
      </c>
      <c r="BV194" s="29">
        <v>-126.22199154544884</v>
      </c>
      <c r="BW194" s="29">
        <v>0</v>
      </c>
      <c r="BX194" s="29">
        <v>1002.8609117644723</v>
      </c>
      <c r="BY194" s="29">
        <v>144.91750474077216</v>
      </c>
      <c r="BZ194" s="29">
        <v>0</v>
      </c>
      <c r="CA194" s="29">
        <v>0</v>
      </c>
      <c r="CB194" s="29">
        <v>531.58334220922734</v>
      </c>
      <c r="CC194" s="29">
        <v>1147.7784165052444</v>
      </c>
      <c r="CD194" s="107">
        <v>0.51814968465079869</v>
      </c>
      <c r="CE194" s="29">
        <v>81.814022161149751</v>
      </c>
      <c r="CF194" s="29">
        <v>9.7473879336774534</v>
      </c>
      <c r="CG194" s="29">
        <v>-7.2550735999165242E-2</v>
      </c>
      <c r="CH194" s="29">
        <v>9.6748371976782881</v>
      </c>
      <c r="CI194" s="29">
        <v>0.48736270401307752</v>
      </c>
      <c r="CJ194" s="29">
        <v>-3.6275367999582652E-3</v>
      </c>
      <c r="CK194" s="29">
        <v>0.48373516721311927</v>
      </c>
      <c r="CL194" s="29"/>
      <c r="CM194" s="29">
        <v>-0.6200917606766263</v>
      </c>
      <c r="CN194" s="29"/>
      <c r="CO194" s="29">
        <v>0</v>
      </c>
      <c r="CP194" s="29">
        <v>0</v>
      </c>
      <c r="CQ194" s="29">
        <v>-4.809742461411104</v>
      </c>
      <c r="CR194" s="29">
        <v>0</v>
      </c>
      <c r="CS194" s="29">
        <v>0</v>
      </c>
      <c r="CT194" s="29">
        <v>-4.809742461411104</v>
      </c>
      <c r="CU194" s="29">
        <v>0</v>
      </c>
      <c r="CV194" s="29">
        <v>9999</v>
      </c>
      <c r="CW194" s="107">
        <v>0</v>
      </c>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row>
    <row r="195" spans="1:131">
      <c r="A195" s="7" t="s">
        <v>486</v>
      </c>
      <c r="B195" s="7"/>
      <c r="C195" s="29">
        <v>13.000000000000004</v>
      </c>
      <c r="D195" s="29">
        <v>931.25053536218934</v>
      </c>
      <c r="E195" s="29">
        <v>-0.6167469118019353</v>
      </c>
      <c r="F195" s="29">
        <v>724.5875237038573</v>
      </c>
      <c r="G195" s="29">
        <v>0</v>
      </c>
      <c r="H195" s="29">
        <v>0</v>
      </c>
      <c r="I195" s="29"/>
      <c r="J195" s="29"/>
      <c r="K195" s="29"/>
      <c r="L195" s="29">
        <v>998.36291367990407</v>
      </c>
      <c r="M195" s="29">
        <v>0.11198994195198492</v>
      </c>
      <c r="N195" s="29">
        <v>0.11118164877214581</v>
      </c>
      <c r="O195" s="29">
        <v>-0.62291438222525675</v>
      </c>
      <c r="P195" s="29">
        <v>0</v>
      </c>
      <c r="Q195" s="29">
        <v>0</v>
      </c>
      <c r="R195" s="29">
        <v>144.49243163055851</v>
      </c>
      <c r="S195" s="29">
        <v>333.90003232343054</v>
      </c>
      <c r="T195" s="29">
        <v>0</v>
      </c>
      <c r="U195" s="29">
        <v>524.46844781047821</v>
      </c>
      <c r="V195" s="29">
        <v>43.475251422231437</v>
      </c>
      <c r="W195" s="29">
        <v>101.44225331854003</v>
      </c>
      <c r="X195" s="29">
        <v>0</v>
      </c>
      <c r="Y195" s="29">
        <v>0</v>
      </c>
      <c r="Z195" s="29">
        <v>0</v>
      </c>
      <c r="AA195" s="29">
        <v>0</v>
      </c>
      <c r="AB195" s="29">
        <v>0</v>
      </c>
      <c r="AC195" s="29">
        <v>0</v>
      </c>
      <c r="AD195" s="29">
        <v>0</v>
      </c>
      <c r="AE195" s="29">
        <v>0</v>
      </c>
      <c r="AF195" s="29">
        <v>0</v>
      </c>
      <c r="AG195" s="29">
        <v>0</v>
      </c>
      <c r="AH195" s="29">
        <v>187.96768305278994</v>
      </c>
      <c r="AI195" s="29">
        <v>435.34228564197053</v>
      </c>
      <c r="AJ195" s="29">
        <v>0</v>
      </c>
      <c r="AK195" s="29">
        <v>524.46844781047821</v>
      </c>
      <c r="AL195" s="29">
        <v>1147.7784165052387</v>
      </c>
      <c r="AM195" s="29">
        <v>507.98934929312378</v>
      </c>
      <c r="AN195" s="29">
        <v>39.571476320518016</v>
      </c>
      <c r="AO195" s="29">
        <v>0</v>
      </c>
      <c r="AP195" s="29">
        <v>0</v>
      </c>
      <c r="AQ195" s="29">
        <v>547.56082561364178</v>
      </c>
      <c r="AR195" s="29">
        <v>187.96768305278994</v>
      </c>
      <c r="AS195" s="33">
        <v>2.9130583338618989</v>
      </c>
      <c r="AT195" s="29">
        <v>507.98934929312378</v>
      </c>
      <c r="AU195" s="29">
        <v>46.840841601936134</v>
      </c>
      <c r="AV195" s="29">
        <v>0</v>
      </c>
      <c r="AW195" s="29">
        <v>0</v>
      </c>
      <c r="AX195" s="29">
        <v>554.8301908950599</v>
      </c>
      <c r="AY195" s="29">
        <v>435.34228564197053</v>
      </c>
      <c r="AZ195" s="33">
        <v>1.2744688701142102</v>
      </c>
      <c r="BA195" s="29">
        <v>507.98934929312378</v>
      </c>
      <c r="BB195" s="29">
        <v>86.412317922454179</v>
      </c>
      <c r="BC195" s="29">
        <v>0</v>
      </c>
      <c r="BD195" s="29">
        <v>0</v>
      </c>
      <c r="BE195" s="29">
        <v>594.40166721557796</v>
      </c>
      <c r="BF195" s="29">
        <v>623.30996869476053</v>
      </c>
      <c r="BG195" s="29">
        <v>39.570649460063585</v>
      </c>
      <c r="BH195" s="107">
        <v>0.95362130732528172</v>
      </c>
      <c r="BI195" s="29">
        <v>13.853670779156898</v>
      </c>
      <c r="BJ195" s="29">
        <v>32.085774552191168</v>
      </c>
      <c r="BK195" s="29">
        <v>0</v>
      </c>
      <c r="BL195" s="29">
        <v>38.654587278076001</v>
      </c>
      <c r="BM195" s="29">
        <v>84.594032609424076</v>
      </c>
      <c r="BN195" s="29">
        <v>507.98934929312378</v>
      </c>
      <c r="BO195" s="29">
        <v>-4.8336090867120332</v>
      </c>
      <c r="BP195" s="29">
        <v>86.412317922454179</v>
      </c>
      <c r="BQ195" s="29">
        <v>0</v>
      </c>
      <c r="BR195" s="29">
        <v>0</v>
      </c>
      <c r="BS195" s="29">
        <v>0</v>
      </c>
      <c r="BT195" s="29">
        <v>0</v>
      </c>
      <c r="BU195" s="29">
        <v>0</v>
      </c>
      <c r="BV195" s="29">
        <v>-139.93093452076437</v>
      </c>
      <c r="BW195" s="29">
        <v>0</v>
      </c>
      <c r="BX195" s="29">
        <v>1002.8609117644672</v>
      </c>
      <c r="BY195" s="29">
        <v>144.91750474077148</v>
      </c>
      <c r="BZ195" s="29">
        <v>0</v>
      </c>
      <c r="CA195" s="29">
        <v>0</v>
      </c>
      <c r="CB195" s="29">
        <v>449.63712360810155</v>
      </c>
      <c r="CC195" s="29">
        <v>1147.7784165052387</v>
      </c>
      <c r="CD195" s="107">
        <v>0.45986995060012836</v>
      </c>
      <c r="CE195" s="29">
        <v>88.894732127246641</v>
      </c>
      <c r="CF195" s="29">
        <v>9.4845807796838866</v>
      </c>
      <c r="CG195" s="29">
        <v>-7.2880982720355092E-2</v>
      </c>
      <c r="CH195" s="29">
        <v>9.4116997969635321</v>
      </c>
      <c r="CI195" s="29">
        <v>0.47422238399795424</v>
      </c>
      <c r="CJ195" s="29">
        <v>-3.6440491360177508E-3</v>
      </c>
      <c r="CK195" s="29">
        <v>0.47057833486193651</v>
      </c>
      <c r="CL195" s="29"/>
      <c r="CM195" s="29">
        <v>-0.62291438222525675</v>
      </c>
      <c r="CN195" s="29"/>
      <c r="CO195" s="29">
        <v>0</v>
      </c>
      <c r="CP195" s="29">
        <v>0</v>
      </c>
      <c r="CQ195" s="29">
        <v>-4.8336090867120332</v>
      </c>
      <c r="CR195" s="29">
        <v>0</v>
      </c>
      <c r="CS195" s="29">
        <v>0</v>
      </c>
      <c r="CT195" s="29">
        <v>-4.8336090867120332</v>
      </c>
      <c r="CU195" s="29">
        <v>0</v>
      </c>
      <c r="CV195" s="29">
        <v>9999</v>
      </c>
      <c r="CW195" s="107">
        <v>0</v>
      </c>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row>
    <row r="196" spans="1:131">
      <c r="A196" s="7" t="s">
        <v>474</v>
      </c>
      <c r="B196" s="7"/>
      <c r="C196" s="29">
        <v>13.000000000000002</v>
      </c>
      <c r="D196" s="29">
        <v>919.54650466888472</v>
      </c>
      <c r="E196" s="29">
        <v>-0.68804709837682176</v>
      </c>
      <c r="F196" s="29">
        <v>724.58752370386082</v>
      </c>
      <c r="G196" s="29">
        <v>0</v>
      </c>
      <c r="H196" s="29">
        <v>0</v>
      </c>
      <c r="I196" s="29"/>
      <c r="J196" s="29"/>
      <c r="K196" s="29"/>
      <c r="L196" s="29">
        <v>985.78061802533921</v>
      </c>
      <c r="M196" s="29">
        <v>0.10813779899635631</v>
      </c>
      <c r="N196" s="29">
        <v>0.10735730885690214</v>
      </c>
      <c r="O196" s="29">
        <v>-0.6949275708167939</v>
      </c>
      <c r="P196" s="29">
        <v>0</v>
      </c>
      <c r="Q196" s="29">
        <v>0</v>
      </c>
      <c r="R196" s="29">
        <v>144.49243163055922</v>
      </c>
      <c r="S196" s="29">
        <v>333.90003232343213</v>
      </c>
      <c r="T196" s="29">
        <v>0</v>
      </c>
      <c r="U196" s="29">
        <v>524.46844781048094</v>
      </c>
      <c r="V196" s="29">
        <v>43.475251422231651</v>
      </c>
      <c r="W196" s="29">
        <v>101.44225331854051</v>
      </c>
      <c r="X196" s="29">
        <v>0</v>
      </c>
      <c r="Y196" s="29">
        <v>0</v>
      </c>
      <c r="Z196" s="29">
        <v>0</v>
      </c>
      <c r="AA196" s="29">
        <v>0</v>
      </c>
      <c r="AB196" s="29">
        <v>0</v>
      </c>
      <c r="AC196" s="29">
        <v>0</v>
      </c>
      <c r="AD196" s="29">
        <v>0</v>
      </c>
      <c r="AE196" s="29">
        <v>0</v>
      </c>
      <c r="AF196" s="29">
        <v>0</v>
      </c>
      <c r="AG196" s="29">
        <v>0</v>
      </c>
      <c r="AH196" s="29">
        <v>187.96768305279087</v>
      </c>
      <c r="AI196" s="29">
        <v>435.34228564197264</v>
      </c>
      <c r="AJ196" s="29">
        <v>0</v>
      </c>
      <c r="AK196" s="29">
        <v>524.46844781048094</v>
      </c>
      <c r="AL196" s="29">
        <v>1147.7784165052444</v>
      </c>
      <c r="AM196" s="29">
        <v>501.48080271855446</v>
      </c>
      <c r="AN196" s="29">
        <v>38.210327443262045</v>
      </c>
      <c r="AO196" s="29">
        <v>0</v>
      </c>
      <c r="AP196" s="29">
        <v>0</v>
      </c>
      <c r="AQ196" s="29">
        <v>539.69113016181655</v>
      </c>
      <c r="AR196" s="29">
        <v>187.96768305279087</v>
      </c>
      <c r="AS196" s="33">
        <v>2.87119105474234</v>
      </c>
      <c r="AT196" s="29">
        <v>501.48080271855446</v>
      </c>
      <c r="AU196" s="29">
        <v>45.229646749366424</v>
      </c>
      <c r="AV196" s="29">
        <v>0</v>
      </c>
      <c r="AW196" s="29">
        <v>0</v>
      </c>
      <c r="AX196" s="29">
        <v>546.71044946792085</v>
      </c>
      <c r="AY196" s="29">
        <v>435.34228564197264</v>
      </c>
      <c r="AZ196" s="33">
        <v>1.2558174739715908</v>
      </c>
      <c r="BA196" s="29">
        <v>501.48080271855446</v>
      </c>
      <c r="BB196" s="29">
        <v>83.439974192628483</v>
      </c>
      <c r="BC196" s="29">
        <v>0</v>
      </c>
      <c r="BD196" s="29">
        <v>0</v>
      </c>
      <c r="BE196" s="29">
        <v>584.92077691118288</v>
      </c>
      <c r="BF196" s="29">
        <v>623.30996869476348</v>
      </c>
      <c r="BG196" s="29">
        <v>40.297585912115409</v>
      </c>
      <c r="BH196" s="107">
        <v>0.93841075273676577</v>
      </c>
      <c r="BI196" s="29">
        <v>14.03049610769054</v>
      </c>
      <c r="BJ196" s="29">
        <v>32.495310603458066</v>
      </c>
      <c r="BK196" s="29">
        <v>0</v>
      </c>
      <c r="BL196" s="29">
        <v>39.147966267929135</v>
      </c>
      <c r="BM196" s="29">
        <v>85.673772979077739</v>
      </c>
      <c r="BN196" s="29">
        <v>501.48080271855446</v>
      </c>
      <c r="BO196" s="29">
        <v>-5.3924075551238468</v>
      </c>
      <c r="BP196" s="29">
        <v>83.439974192628483</v>
      </c>
      <c r="BQ196" s="29">
        <v>0</v>
      </c>
      <c r="BR196" s="29">
        <v>0</v>
      </c>
      <c r="BS196" s="29">
        <v>0</v>
      </c>
      <c r="BT196" s="29">
        <v>0</v>
      </c>
      <c r="BU196" s="29">
        <v>0</v>
      </c>
      <c r="BV196" s="29">
        <v>-141.56156729380163</v>
      </c>
      <c r="BW196" s="29">
        <v>0</v>
      </c>
      <c r="BX196" s="29">
        <v>1002.8609117644723</v>
      </c>
      <c r="BY196" s="29">
        <v>144.91750474077216</v>
      </c>
      <c r="BZ196" s="29">
        <v>0</v>
      </c>
      <c r="CA196" s="29">
        <v>0</v>
      </c>
      <c r="CB196" s="29">
        <v>437.9668020622575</v>
      </c>
      <c r="CC196" s="29">
        <v>1147.7784165052444</v>
      </c>
      <c r="CD196" s="107">
        <v>0.45176963271878157</v>
      </c>
      <c r="CE196" s="29">
        <v>90.414656755049762</v>
      </c>
      <c r="CF196" s="29">
        <v>9.3650477256146178</v>
      </c>
      <c r="CG196" s="29">
        <v>-8.1306525785564757E-2</v>
      </c>
      <c r="CH196" s="29">
        <v>9.2837411998290538</v>
      </c>
      <c r="CI196" s="29">
        <v>0.46824579356203588</v>
      </c>
      <c r="CJ196" s="29">
        <v>-4.0653262892782448E-3</v>
      </c>
      <c r="CK196" s="29">
        <v>0.46418046727275764</v>
      </c>
      <c r="CL196" s="29"/>
      <c r="CM196" s="29">
        <v>-0.6949275708167939</v>
      </c>
      <c r="CN196" s="29"/>
      <c r="CO196" s="29">
        <v>0</v>
      </c>
      <c r="CP196" s="29">
        <v>0</v>
      </c>
      <c r="CQ196" s="29">
        <v>-5.3924075551238468</v>
      </c>
      <c r="CR196" s="29">
        <v>0</v>
      </c>
      <c r="CS196" s="29">
        <v>0</v>
      </c>
      <c r="CT196" s="29">
        <v>-5.3924075551238468</v>
      </c>
      <c r="CU196" s="29">
        <v>0</v>
      </c>
      <c r="CV196" s="29">
        <v>9999</v>
      </c>
      <c r="CW196" s="107">
        <v>0</v>
      </c>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row>
    <row r="197" spans="1:131">
      <c r="A197" s="7" t="s">
        <v>496</v>
      </c>
      <c r="B197" s="7"/>
      <c r="C197" s="29">
        <v>13</v>
      </c>
      <c r="D197" s="29">
        <v>295.2941249699968</v>
      </c>
      <c r="E197" s="29">
        <v>0</v>
      </c>
      <c r="F197" s="29">
        <v>1183.5005381933265</v>
      </c>
      <c r="G197" s="29">
        <v>0</v>
      </c>
      <c r="H197" s="29">
        <v>0</v>
      </c>
      <c r="I197" s="29"/>
      <c r="J197" s="29"/>
      <c r="K197" s="29"/>
      <c r="L197" s="29">
        <v>317.07386640893014</v>
      </c>
      <c r="M197" s="29">
        <v>7.0559843897636976E-2</v>
      </c>
      <c r="N197" s="29">
        <v>7.0050574586492692E-2</v>
      </c>
      <c r="O197" s="29">
        <v>0</v>
      </c>
      <c r="P197" s="29">
        <v>0</v>
      </c>
      <c r="Q197" s="29">
        <v>0</v>
      </c>
      <c r="R197" s="29">
        <v>236.00581711025961</v>
      </c>
      <c r="S197" s="29">
        <v>545.37354705966141</v>
      </c>
      <c r="T197" s="29">
        <v>0</v>
      </c>
      <c r="U197" s="29">
        <v>856.63728665414692</v>
      </c>
      <c r="V197" s="29">
        <v>71.010032291599586</v>
      </c>
      <c r="W197" s="29">
        <v>165.69007534706572</v>
      </c>
      <c r="X197" s="29">
        <v>0</v>
      </c>
      <c r="Y197" s="29">
        <v>0</v>
      </c>
      <c r="Z197" s="29">
        <v>0</v>
      </c>
      <c r="AA197" s="29">
        <v>0</v>
      </c>
      <c r="AB197" s="29">
        <v>0</v>
      </c>
      <c r="AC197" s="29">
        <v>0</v>
      </c>
      <c r="AD197" s="29">
        <v>0</v>
      </c>
      <c r="AE197" s="29">
        <v>0</v>
      </c>
      <c r="AF197" s="29">
        <v>0</v>
      </c>
      <c r="AG197" s="29">
        <v>0</v>
      </c>
      <c r="AH197" s="29">
        <v>307.01584940185921</v>
      </c>
      <c r="AI197" s="29">
        <v>711.06362240672706</v>
      </c>
      <c r="AJ197" s="29">
        <v>0</v>
      </c>
      <c r="AK197" s="29">
        <v>856.63728665414692</v>
      </c>
      <c r="AL197" s="29">
        <v>1874.7167584627332</v>
      </c>
      <c r="AM197" s="29">
        <v>162.85961252014863</v>
      </c>
      <c r="AN197" s="29">
        <v>24.932213940890438</v>
      </c>
      <c r="AO197" s="29">
        <v>0</v>
      </c>
      <c r="AP197" s="29">
        <v>0</v>
      </c>
      <c r="AQ197" s="29">
        <v>187.79182646103908</v>
      </c>
      <c r="AR197" s="29">
        <v>307.01584940185921</v>
      </c>
      <c r="AS197" s="107">
        <v>0.61166818203979623</v>
      </c>
      <c r="AT197" s="29">
        <v>162.85961252014863</v>
      </c>
      <c r="AU197" s="29">
        <v>29.512315247770992</v>
      </c>
      <c r="AV197" s="29">
        <v>0</v>
      </c>
      <c r="AW197" s="29">
        <v>0</v>
      </c>
      <c r="AX197" s="29">
        <v>192.37192776791963</v>
      </c>
      <c r="AY197" s="29">
        <v>711.06362240672706</v>
      </c>
      <c r="AZ197" s="107">
        <v>0.2705410904256374</v>
      </c>
      <c r="BA197" s="29">
        <v>162.85961252014863</v>
      </c>
      <c r="BB197" s="29">
        <v>54.444529188661427</v>
      </c>
      <c r="BC197" s="29">
        <v>0</v>
      </c>
      <c r="BD197" s="29">
        <v>0</v>
      </c>
      <c r="BE197" s="29">
        <v>217.30414170881008</v>
      </c>
      <c r="BF197" s="29">
        <v>1018.0794718085863</v>
      </c>
      <c r="BG197" s="29">
        <v>223.62595365823842</v>
      </c>
      <c r="BH197" s="107">
        <v>0.21344516585014339</v>
      </c>
      <c r="BI197" s="29">
        <v>71.247636500209737</v>
      </c>
      <c r="BJ197" s="29">
        <v>165.01298742868772</v>
      </c>
      <c r="BK197" s="29">
        <v>0</v>
      </c>
      <c r="BL197" s="29">
        <v>198.79554143855555</v>
      </c>
      <c r="BM197" s="29">
        <v>435.05616536745299</v>
      </c>
      <c r="BN197" s="29">
        <v>162.85961252014863</v>
      </c>
      <c r="BO197" s="29">
        <v>0</v>
      </c>
      <c r="BP197" s="29">
        <v>54.444529188661427</v>
      </c>
      <c r="BQ197" s="29">
        <v>0</v>
      </c>
      <c r="BR197" s="29">
        <v>0</v>
      </c>
      <c r="BS197" s="29">
        <v>0</v>
      </c>
      <c r="BT197" s="29">
        <v>0</v>
      </c>
      <c r="BU197" s="29">
        <v>0</v>
      </c>
      <c r="BV197" s="29">
        <v>0</v>
      </c>
      <c r="BW197" s="29">
        <v>0</v>
      </c>
      <c r="BX197" s="29">
        <v>1638.0166508240679</v>
      </c>
      <c r="BY197" s="29">
        <v>236.70010763866532</v>
      </c>
      <c r="BZ197" s="29">
        <v>0</v>
      </c>
      <c r="CA197" s="29">
        <v>0</v>
      </c>
      <c r="CB197" s="29">
        <v>217.30414170881008</v>
      </c>
      <c r="CC197" s="29">
        <v>1874.7167584627332</v>
      </c>
      <c r="CD197" s="107">
        <v>0.11591305231996718</v>
      </c>
      <c r="CE197" s="29">
        <v>422.42149509679393</v>
      </c>
      <c r="CF197" s="29">
        <v>3.0122378076530074</v>
      </c>
      <c r="CG197" s="29">
        <v>0</v>
      </c>
      <c r="CH197" s="29">
        <v>3.0122378076530074</v>
      </c>
      <c r="CI197" s="29">
        <v>0.15061008654424182</v>
      </c>
      <c r="CJ197" s="29">
        <v>0</v>
      </c>
      <c r="CK197" s="29">
        <v>0.15061008654424182</v>
      </c>
      <c r="CL197" s="29"/>
      <c r="CM197" s="29">
        <v>0</v>
      </c>
      <c r="CN197" s="29"/>
      <c r="CO197" s="29">
        <v>0</v>
      </c>
      <c r="CP197" s="29">
        <v>0</v>
      </c>
      <c r="CQ197" s="29">
        <v>0</v>
      </c>
      <c r="CR197" s="29">
        <v>0</v>
      </c>
      <c r="CS197" s="29">
        <v>0</v>
      </c>
      <c r="CT197" s="29">
        <v>0</v>
      </c>
      <c r="CU197" s="29">
        <v>0</v>
      </c>
      <c r="CV197" s="29">
        <v>9999</v>
      </c>
      <c r="CW197" s="33">
        <v>9999</v>
      </c>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row>
    <row r="198" spans="1:131">
      <c r="A198" s="7" t="s">
        <v>477</v>
      </c>
      <c r="B198" s="7"/>
      <c r="C198" s="29">
        <v>12.999999999999998</v>
      </c>
      <c r="D198" s="29">
        <v>189.91096169277483</v>
      </c>
      <c r="E198" s="29">
        <v>0</v>
      </c>
      <c r="F198" s="29">
        <v>1183.5005381933324</v>
      </c>
      <c r="G198" s="29">
        <v>0</v>
      </c>
      <c r="H198" s="29">
        <v>0</v>
      </c>
      <c r="I198" s="29"/>
      <c r="J198" s="29"/>
      <c r="K198" s="29"/>
      <c r="L198" s="29">
        <v>203.91805256806657</v>
      </c>
      <c r="M198" s="29">
        <v>4.5378780982980753E-2</v>
      </c>
      <c r="N198" s="29">
        <v>4.5051257291668513E-2</v>
      </c>
      <c r="O198" s="29">
        <v>0</v>
      </c>
      <c r="P198" s="29">
        <v>0</v>
      </c>
      <c r="Q198" s="29">
        <v>0</v>
      </c>
      <c r="R198" s="29">
        <v>236.00581711026078</v>
      </c>
      <c r="S198" s="29">
        <v>545.37354705966402</v>
      </c>
      <c r="T198" s="29">
        <v>0</v>
      </c>
      <c r="U198" s="29">
        <v>856.63728665415113</v>
      </c>
      <c r="V198" s="29">
        <v>71.010032291599941</v>
      </c>
      <c r="W198" s="29">
        <v>165.69007534706654</v>
      </c>
      <c r="X198" s="29">
        <v>0</v>
      </c>
      <c r="Y198" s="29">
        <v>0</v>
      </c>
      <c r="Z198" s="29">
        <v>0</v>
      </c>
      <c r="AA198" s="29">
        <v>0</v>
      </c>
      <c r="AB198" s="29">
        <v>0</v>
      </c>
      <c r="AC198" s="29">
        <v>0</v>
      </c>
      <c r="AD198" s="29">
        <v>0</v>
      </c>
      <c r="AE198" s="29">
        <v>0</v>
      </c>
      <c r="AF198" s="29">
        <v>0</v>
      </c>
      <c r="AG198" s="29">
        <v>0</v>
      </c>
      <c r="AH198" s="29">
        <v>307.01584940186069</v>
      </c>
      <c r="AI198" s="29">
        <v>711.06362240673059</v>
      </c>
      <c r="AJ198" s="29">
        <v>0</v>
      </c>
      <c r="AK198" s="29">
        <v>856.63728665415113</v>
      </c>
      <c r="AL198" s="29">
        <v>1874.7167584627423</v>
      </c>
      <c r="AM198" s="29">
        <v>104.73904837245669</v>
      </c>
      <c r="AN198" s="29">
        <v>16.034523510083574</v>
      </c>
      <c r="AO198" s="29">
        <v>0</v>
      </c>
      <c r="AP198" s="29">
        <v>0</v>
      </c>
      <c r="AQ198" s="29">
        <v>120.77357188254027</v>
      </c>
      <c r="AR198" s="29">
        <v>307.01584940186069</v>
      </c>
      <c r="AS198" s="107">
        <v>0.39337894808308976</v>
      </c>
      <c r="AT198" s="29">
        <v>104.73904837245669</v>
      </c>
      <c r="AU198" s="29">
        <v>18.980099954191285</v>
      </c>
      <c r="AV198" s="29">
        <v>0</v>
      </c>
      <c r="AW198" s="29">
        <v>0</v>
      </c>
      <c r="AX198" s="29">
        <v>123.71914832664798</v>
      </c>
      <c r="AY198" s="29">
        <v>711.06362240673059</v>
      </c>
      <c r="AZ198" s="107">
        <v>0.17399167167052773</v>
      </c>
      <c r="BA198" s="29">
        <v>104.73904837245669</v>
      </c>
      <c r="BB198" s="29">
        <v>35.014623464274862</v>
      </c>
      <c r="BC198" s="29">
        <v>0</v>
      </c>
      <c r="BD198" s="29">
        <v>0</v>
      </c>
      <c r="BE198" s="29">
        <v>139.75367183673154</v>
      </c>
      <c r="BF198" s="29">
        <v>1018.0794718085913</v>
      </c>
      <c r="BG198" s="29">
        <v>354.72892819814319</v>
      </c>
      <c r="BH198" s="107">
        <v>0.13727186895190296</v>
      </c>
      <c r="BI198" s="29">
        <v>110.78353923608097</v>
      </c>
      <c r="BJ198" s="29">
        <v>256.58005886574432</v>
      </c>
      <c r="BK198" s="29">
        <v>0</v>
      </c>
      <c r="BL198" s="29">
        <v>309.10883148876593</v>
      </c>
      <c r="BM198" s="29">
        <v>676.4724295905911</v>
      </c>
      <c r="BN198" s="29">
        <v>104.73904837245669</v>
      </c>
      <c r="BO198" s="29">
        <v>0</v>
      </c>
      <c r="BP198" s="29">
        <v>35.014623464274862</v>
      </c>
      <c r="BQ198" s="29">
        <v>0</v>
      </c>
      <c r="BR198" s="29">
        <v>0</v>
      </c>
      <c r="BS198" s="29">
        <v>0</v>
      </c>
      <c r="BT198" s="29">
        <v>0</v>
      </c>
      <c r="BU198" s="29">
        <v>0</v>
      </c>
      <c r="BV198" s="29">
        <v>0</v>
      </c>
      <c r="BW198" s="29">
        <v>0</v>
      </c>
      <c r="BX198" s="29">
        <v>1638.0166508240759</v>
      </c>
      <c r="BY198" s="29">
        <v>236.70010763866651</v>
      </c>
      <c r="BZ198" s="29">
        <v>0</v>
      </c>
      <c r="CA198" s="29">
        <v>0</v>
      </c>
      <c r="CB198" s="29">
        <v>139.75367183673154</v>
      </c>
      <c r="CC198" s="29">
        <v>1874.7167584627423</v>
      </c>
      <c r="CD198" s="107">
        <v>7.4546552809038102E-2</v>
      </c>
      <c r="CE198" s="29">
        <v>663.83775968690907</v>
      </c>
      <c r="CF198" s="29">
        <v>1.937244701260965</v>
      </c>
      <c r="CG198" s="29">
        <v>0</v>
      </c>
      <c r="CH198" s="29">
        <v>1.937244701260965</v>
      </c>
      <c r="CI198" s="29">
        <v>9.6861074969831595E-2</v>
      </c>
      <c r="CJ198" s="29">
        <v>0</v>
      </c>
      <c r="CK198" s="29">
        <v>9.6861074969831595E-2</v>
      </c>
      <c r="CL198" s="29"/>
      <c r="CM198" s="29">
        <v>0</v>
      </c>
      <c r="CN198" s="29"/>
      <c r="CO198" s="29">
        <v>0</v>
      </c>
      <c r="CP198" s="29">
        <v>0</v>
      </c>
      <c r="CQ198" s="29">
        <v>0</v>
      </c>
      <c r="CR198" s="29">
        <v>0</v>
      </c>
      <c r="CS198" s="29">
        <v>0</v>
      </c>
      <c r="CT198" s="29">
        <v>0</v>
      </c>
      <c r="CU198" s="29">
        <v>0</v>
      </c>
      <c r="CV198" s="29">
        <v>9999</v>
      </c>
      <c r="CW198" s="33">
        <v>9999</v>
      </c>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row>
    <row r="199" spans="1:131">
      <c r="A199" s="7" t="s">
        <v>490</v>
      </c>
      <c r="B199" s="7"/>
      <c r="C199" s="29">
        <v>12.999999999999998</v>
      </c>
      <c r="D199" s="29">
        <v>81.893691355955568</v>
      </c>
      <c r="E199" s="29">
        <v>-3.3370468367574389</v>
      </c>
      <c r="F199" s="29">
        <v>1183.5005381933265</v>
      </c>
      <c r="G199" s="29">
        <v>0</v>
      </c>
      <c r="H199" s="29">
        <v>0</v>
      </c>
      <c r="I199" s="29"/>
      <c r="J199" s="29"/>
      <c r="K199" s="29"/>
      <c r="L199" s="29">
        <v>87.931784673528639</v>
      </c>
      <c r="M199" s="29">
        <v>1.988306430462353E-2</v>
      </c>
      <c r="N199" s="29">
        <v>1.9739557262905258E-2</v>
      </c>
      <c r="O199" s="29">
        <v>-3.3704173121876413</v>
      </c>
      <c r="P199" s="29">
        <v>0</v>
      </c>
      <c r="Q199" s="29">
        <v>0</v>
      </c>
      <c r="R199" s="29">
        <v>236.00581711025961</v>
      </c>
      <c r="S199" s="29">
        <v>545.37354705966141</v>
      </c>
      <c r="T199" s="29">
        <v>0</v>
      </c>
      <c r="U199" s="29">
        <v>856.63728665414692</v>
      </c>
      <c r="V199" s="29">
        <v>71.010032291599586</v>
      </c>
      <c r="W199" s="29">
        <v>165.69007534706572</v>
      </c>
      <c r="X199" s="29">
        <v>0</v>
      </c>
      <c r="Y199" s="29">
        <v>0</v>
      </c>
      <c r="Z199" s="29">
        <v>0</v>
      </c>
      <c r="AA199" s="29">
        <v>0</v>
      </c>
      <c r="AB199" s="29">
        <v>0</v>
      </c>
      <c r="AC199" s="29">
        <v>0</v>
      </c>
      <c r="AD199" s="29">
        <v>0</v>
      </c>
      <c r="AE199" s="29">
        <v>0</v>
      </c>
      <c r="AF199" s="29">
        <v>0</v>
      </c>
      <c r="AG199" s="29">
        <v>0</v>
      </c>
      <c r="AH199" s="29">
        <v>307.01584940185921</v>
      </c>
      <c r="AI199" s="29">
        <v>711.06362240672706</v>
      </c>
      <c r="AJ199" s="29">
        <v>0</v>
      </c>
      <c r="AK199" s="29">
        <v>856.63728665414692</v>
      </c>
      <c r="AL199" s="29">
        <v>1874.7167584627332</v>
      </c>
      <c r="AM199" s="29">
        <v>45.09444214894998</v>
      </c>
      <c r="AN199" s="29">
        <v>7.0256506485831052</v>
      </c>
      <c r="AO199" s="29">
        <v>0</v>
      </c>
      <c r="AP199" s="29">
        <v>0</v>
      </c>
      <c r="AQ199" s="29">
        <v>52.120092797533083</v>
      </c>
      <c r="AR199" s="29">
        <v>307.01584940185921</v>
      </c>
      <c r="AS199" s="107">
        <v>0.169763524909465</v>
      </c>
      <c r="AT199" s="29">
        <v>45.09444214894998</v>
      </c>
      <c r="AU199" s="29">
        <v>8.3162777783498445</v>
      </c>
      <c r="AV199" s="29">
        <v>0</v>
      </c>
      <c r="AW199" s="29">
        <v>0</v>
      </c>
      <c r="AX199" s="29">
        <v>53.410719927299823</v>
      </c>
      <c r="AY199" s="29">
        <v>711.06362240672706</v>
      </c>
      <c r="AZ199" s="107">
        <v>7.5113841074475593E-2</v>
      </c>
      <c r="BA199" s="29">
        <v>45.09444214894998</v>
      </c>
      <c r="BB199" s="29">
        <v>15.341928426932952</v>
      </c>
      <c r="BC199" s="29">
        <v>0</v>
      </c>
      <c r="BD199" s="29">
        <v>0</v>
      </c>
      <c r="BE199" s="29">
        <v>60.436370575882925</v>
      </c>
      <c r="BF199" s="29">
        <v>1018.0794718085863</v>
      </c>
      <c r="BG199" s="29">
        <v>839.09571307112856</v>
      </c>
      <c r="BH199" s="107">
        <v>5.9363116779596395E-2</v>
      </c>
      <c r="BI199" s="29">
        <v>256.91237430803949</v>
      </c>
      <c r="BJ199" s="29">
        <v>595.02154000353448</v>
      </c>
      <c r="BK199" s="29">
        <v>0</v>
      </c>
      <c r="BL199" s="29">
        <v>716.83829894737926</v>
      </c>
      <c r="BM199" s="29">
        <v>1568.7722132589531</v>
      </c>
      <c r="BN199" s="29">
        <v>45.09444214894998</v>
      </c>
      <c r="BO199" s="29">
        <v>-26.153320923501358</v>
      </c>
      <c r="BP199" s="29">
        <v>15.341928426932952</v>
      </c>
      <c r="BQ199" s="29">
        <v>0</v>
      </c>
      <c r="BR199" s="29">
        <v>0</v>
      </c>
      <c r="BS199" s="29">
        <v>0</v>
      </c>
      <c r="BT199" s="29">
        <v>0</v>
      </c>
      <c r="BU199" s="29">
        <v>0</v>
      </c>
      <c r="BV199" s="29">
        <v>-35.275207061523503</v>
      </c>
      <c r="BW199" s="29">
        <v>0</v>
      </c>
      <c r="BX199" s="29">
        <v>1638.0166508240679</v>
      </c>
      <c r="BY199" s="29">
        <v>236.70010763866532</v>
      </c>
      <c r="BZ199" s="29">
        <v>0</v>
      </c>
      <c r="CA199" s="29">
        <v>0</v>
      </c>
      <c r="CB199" s="29">
        <v>-0.99215740914193518</v>
      </c>
      <c r="CC199" s="29">
        <v>1874.7167584627332</v>
      </c>
      <c r="CD199" s="107">
        <v>3.1214791058766782E-2</v>
      </c>
      <c r="CE199" s="29">
        <v>1607.3377066669348</v>
      </c>
      <c r="CF199" s="29">
        <v>0.83535967765022745</v>
      </c>
      <c r="CG199" s="29">
        <v>-0.39433882552595362</v>
      </c>
      <c r="CH199" s="29">
        <v>0.44102085212427383</v>
      </c>
      <c r="CI199" s="29">
        <v>4.1767597719926088E-2</v>
      </c>
      <c r="CJ199" s="29">
        <v>-1.9716941276297698E-2</v>
      </c>
      <c r="CK199" s="29">
        <v>2.2050656443628389E-2</v>
      </c>
      <c r="CL199" s="29"/>
      <c r="CM199" s="29">
        <v>-3.3704173121876413</v>
      </c>
      <c r="CN199" s="29"/>
      <c r="CO199" s="29">
        <v>0</v>
      </c>
      <c r="CP199" s="29">
        <v>0</v>
      </c>
      <c r="CQ199" s="29">
        <v>-26.153320923501358</v>
      </c>
      <c r="CR199" s="29">
        <v>0</v>
      </c>
      <c r="CS199" s="29">
        <v>0</v>
      </c>
      <c r="CT199" s="29">
        <v>-26.153320923501358</v>
      </c>
      <c r="CU199" s="29">
        <v>0</v>
      </c>
      <c r="CV199" s="29">
        <v>9999</v>
      </c>
      <c r="CW199" s="107">
        <v>0</v>
      </c>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7"/>
    </row>
    <row r="200" spans="1:131">
      <c r="A200" s="7" t="s">
        <v>479</v>
      </c>
      <c r="B200" s="7"/>
      <c r="C200" s="29">
        <v>13.000000000000002</v>
      </c>
      <c r="D200" s="29">
        <v>80.763929818030846</v>
      </c>
      <c r="E200" s="29">
        <v>-3.3750130534524367</v>
      </c>
      <c r="F200" s="29">
        <v>1183.5005381933324</v>
      </c>
      <c r="G200" s="29">
        <v>0</v>
      </c>
      <c r="H200" s="29">
        <v>0</v>
      </c>
      <c r="I200" s="29"/>
      <c r="J200" s="29"/>
      <c r="K200" s="29"/>
      <c r="L200" s="29">
        <v>86.718840456148499</v>
      </c>
      <c r="M200" s="29">
        <v>1.9634090668074949E-2</v>
      </c>
      <c r="N200" s="29">
        <v>1.9492380606414655E-2</v>
      </c>
      <c r="O200" s="29">
        <v>-3.4087631911299421</v>
      </c>
      <c r="P200" s="29">
        <v>0</v>
      </c>
      <c r="Q200" s="29">
        <v>0</v>
      </c>
      <c r="R200" s="29">
        <v>236.00581711026078</v>
      </c>
      <c r="S200" s="29">
        <v>545.37354705966402</v>
      </c>
      <c r="T200" s="29">
        <v>0</v>
      </c>
      <c r="U200" s="29">
        <v>856.63728665415113</v>
      </c>
      <c r="V200" s="29">
        <v>71.010032291599941</v>
      </c>
      <c r="W200" s="29">
        <v>165.69007534706654</v>
      </c>
      <c r="X200" s="29">
        <v>0</v>
      </c>
      <c r="Y200" s="29">
        <v>0</v>
      </c>
      <c r="Z200" s="29">
        <v>0</v>
      </c>
      <c r="AA200" s="29">
        <v>0</v>
      </c>
      <c r="AB200" s="29">
        <v>0</v>
      </c>
      <c r="AC200" s="29">
        <v>0</v>
      </c>
      <c r="AD200" s="29">
        <v>0</v>
      </c>
      <c r="AE200" s="29">
        <v>0</v>
      </c>
      <c r="AF200" s="29">
        <v>0</v>
      </c>
      <c r="AG200" s="29">
        <v>0</v>
      </c>
      <c r="AH200" s="29">
        <v>307.01584940186069</v>
      </c>
      <c r="AI200" s="29">
        <v>711.06362240673059</v>
      </c>
      <c r="AJ200" s="29">
        <v>0</v>
      </c>
      <c r="AK200" s="29">
        <v>856.63728665415113</v>
      </c>
      <c r="AL200" s="29">
        <v>1874.7167584627423</v>
      </c>
      <c r="AM200" s="29">
        <v>44.470365425040185</v>
      </c>
      <c r="AN200" s="29">
        <v>6.9376761913114002</v>
      </c>
      <c r="AO200" s="29">
        <v>0</v>
      </c>
      <c r="AP200" s="29">
        <v>0</v>
      </c>
      <c r="AQ200" s="29">
        <v>51.408041616351582</v>
      </c>
      <c r="AR200" s="29">
        <v>307.01584940186069</v>
      </c>
      <c r="AS200" s="107">
        <v>0.16744425969052273</v>
      </c>
      <c r="AT200" s="29">
        <v>44.470365425040185</v>
      </c>
      <c r="AU200" s="29">
        <v>8.2121422241263247</v>
      </c>
      <c r="AV200" s="29">
        <v>0</v>
      </c>
      <c r="AW200" s="29">
        <v>0</v>
      </c>
      <c r="AX200" s="29">
        <v>52.68250764916651</v>
      </c>
      <c r="AY200" s="29">
        <v>711.06362240673059</v>
      </c>
      <c r="AZ200" s="107">
        <v>7.4089724166808743E-2</v>
      </c>
      <c r="BA200" s="29">
        <v>44.470365425040185</v>
      </c>
      <c r="BB200" s="29">
        <v>15.149818415437727</v>
      </c>
      <c r="BC200" s="29">
        <v>0</v>
      </c>
      <c r="BD200" s="29">
        <v>0</v>
      </c>
      <c r="BE200" s="29">
        <v>59.620183840477907</v>
      </c>
      <c r="BF200" s="29">
        <v>1018.0794718085913</v>
      </c>
      <c r="BG200" s="29">
        <v>850.99522739203019</v>
      </c>
      <c r="BH200" s="107">
        <v>5.856142422218201E-2</v>
      </c>
      <c r="BI200" s="29">
        <v>260.50583078360228</v>
      </c>
      <c r="BJ200" s="29">
        <v>603.34415977529136</v>
      </c>
      <c r="BK200" s="29">
        <v>0</v>
      </c>
      <c r="BL200" s="29">
        <v>726.86478067766507</v>
      </c>
      <c r="BM200" s="29">
        <v>1590.7147712365584</v>
      </c>
      <c r="BN200" s="29">
        <v>44.470365425040185</v>
      </c>
      <c r="BO200" s="29">
        <v>-26.450872231004233</v>
      </c>
      <c r="BP200" s="29">
        <v>15.149818415437727</v>
      </c>
      <c r="BQ200" s="29">
        <v>0</v>
      </c>
      <c r="BR200" s="29">
        <v>0</v>
      </c>
      <c r="BS200" s="29">
        <v>0</v>
      </c>
      <c r="BT200" s="29">
        <v>0</v>
      </c>
      <c r="BU200" s="29">
        <v>0</v>
      </c>
      <c r="BV200" s="29">
        <v>-35.58912611663898</v>
      </c>
      <c r="BW200" s="29">
        <v>0</v>
      </c>
      <c r="BX200" s="29">
        <v>1638.0166508240759</v>
      </c>
      <c r="BY200" s="29">
        <v>236.70010763866651</v>
      </c>
      <c r="BZ200" s="29">
        <v>0</v>
      </c>
      <c r="CA200" s="29">
        <v>0</v>
      </c>
      <c r="CB200" s="29">
        <v>-2.4198145071653059</v>
      </c>
      <c r="CC200" s="29">
        <v>1874.7167584627423</v>
      </c>
      <c r="CD200" s="107">
        <v>3.0783516634616242E-2</v>
      </c>
      <c r="CE200" s="29">
        <v>1630.5015291600657</v>
      </c>
      <c r="CF200" s="29">
        <v>0.82383651333710484</v>
      </c>
      <c r="CG200" s="29">
        <v>-0.39882529336220329</v>
      </c>
      <c r="CH200" s="29">
        <v>0.42501121997490154</v>
      </c>
      <c r="CI200" s="29">
        <v>4.1191449216670527E-2</v>
      </c>
      <c r="CJ200" s="29">
        <v>-1.9941264668110161E-2</v>
      </c>
      <c r="CK200" s="29">
        <v>2.1250184548560366E-2</v>
      </c>
      <c r="CL200" s="29"/>
      <c r="CM200" s="29">
        <v>-3.4087631911299421</v>
      </c>
      <c r="CN200" s="29"/>
      <c r="CO200" s="29">
        <v>0</v>
      </c>
      <c r="CP200" s="29">
        <v>0</v>
      </c>
      <c r="CQ200" s="29">
        <v>-26.450872231004233</v>
      </c>
      <c r="CR200" s="29">
        <v>0</v>
      </c>
      <c r="CS200" s="29">
        <v>0</v>
      </c>
      <c r="CT200" s="29">
        <v>-26.450872231004233</v>
      </c>
      <c r="CU200" s="29">
        <v>0</v>
      </c>
      <c r="CV200" s="29">
        <v>9999</v>
      </c>
      <c r="CW200" s="107">
        <v>0</v>
      </c>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7"/>
    </row>
    <row r="201" spans="1:131">
      <c r="A201" s="7" t="s">
        <v>489</v>
      </c>
      <c r="B201" s="7"/>
      <c r="C201" s="29">
        <v>12.999999999999998</v>
      </c>
      <c r="D201" s="29">
        <v>81.050814158390125</v>
      </c>
      <c r="E201" s="29">
        <v>-3.2805277823109287</v>
      </c>
      <c r="F201" s="29">
        <v>1183.5005381933265</v>
      </c>
      <c r="G201" s="29">
        <v>0</v>
      </c>
      <c r="H201" s="29">
        <v>0</v>
      </c>
      <c r="I201" s="29"/>
      <c r="J201" s="29"/>
      <c r="K201" s="29"/>
      <c r="L201" s="29">
        <v>87.018336528396802</v>
      </c>
      <c r="M201" s="29">
        <v>1.8631276675208853E-2</v>
      </c>
      <c r="N201" s="29">
        <v>1.8496804475243572E-2</v>
      </c>
      <c r="O201" s="29">
        <v>-3.3133330670770471</v>
      </c>
      <c r="P201" s="29">
        <v>0</v>
      </c>
      <c r="Q201" s="29">
        <v>0</v>
      </c>
      <c r="R201" s="29">
        <v>236.00581711025961</v>
      </c>
      <c r="S201" s="29">
        <v>545.37354705966141</v>
      </c>
      <c r="T201" s="29">
        <v>0</v>
      </c>
      <c r="U201" s="29">
        <v>856.63728665414692</v>
      </c>
      <c r="V201" s="29">
        <v>71.010032291599586</v>
      </c>
      <c r="W201" s="29">
        <v>165.69007534706572</v>
      </c>
      <c r="X201" s="29">
        <v>0</v>
      </c>
      <c r="Y201" s="29">
        <v>0</v>
      </c>
      <c r="Z201" s="29">
        <v>0</v>
      </c>
      <c r="AA201" s="29">
        <v>0</v>
      </c>
      <c r="AB201" s="29">
        <v>0</v>
      </c>
      <c r="AC201" s="29">
        <v>0</v>
      </c>
      <c r="AD201" s="29">
        <v>0</v>
      </c>
      <c r="AE201" s="29">
        <v>0</v>
      </c>
      <c r="AF201" s="29">
        <v>0</v>
      </c>
      <c r="AG201" s="29">
        <v>0</v>
      </c>
      <c r="AH201" s="29">
        <v>307.01584940185921</v>
      </c>
      <c r="AI201" s="29">
        <v>711.06362240672706</v>
      </c>
      <c r="AJ201" s="29">
        <v>0</v>
      </c>
      <c r="AK201" s="29">
        <v>856.63728665414692</v>
      </c>
      <c r="AL201" s="29">
        <v>1874.7167584627332</v>
      </c>
      <c r="AM201" s="29">
        <v>44.663527585051895</v>
      </c>
      <c r="AN201" s="29">
        <v>6.5833333862262942</v>
      </c>
      <c r="AO201" s="29">
        <v>0</v>
      </c>
      <c r="AP201" s="29">
        <v>0</v>
      </c>
      <c r="AQ201" s="29">
        <v>51.246860971278188</v>
      </c>
      <c r="AR201" s="29">
        <v>307.01584940185921</v>
      </c>
      <c r="AS201" s="107">
        <v>0.16691926840623836</v>
      </c>
      <c r="AT201" s="29">
        <v>44.663527585051895</v>
      </c>
      <c r="AU201" s="29">
        <v>7.7927058838861853</v>
      </c>
      <c r="AV201" s="29">
        <v>0</v>
      </c>
      <c r="AW201" s="29">
        <v>0</v>
      </c>
      <c r="AX201" s="29">
        <v>52.45623346893808</v>
      </c>
      <c r="AY201" s="29">
        <v>711.06362240672706</v>
      </c>
      <c r="AZ201" s="107">
        <v>7.3771504849861683E-2</v>
      </c>
      <c r="BA201" s="29">
        <v>44.663527585051895</v>
      </c>
      <c r="BB201" s="29">
        <v>14.37603927011248</v>
      </c>
      <c r="BC201" s="29">
        <v>0</v>
      </c>
      <c r="BD201" s="29">
        <v>0</v>
      </c>
      <c r="BE201" s="29">
        <v>59.039566855164374</v>
      </c>
      <c r="BF201" s="29">
        <v>1018.0794718085863</v>
      </c>
      <c r="BG201" s="29">
        <v>848.72060675318471</v>
      </c>
      <c r="BH201" s="107">
        <v>5.799111807085397E-2</v>
      </c>
      <c r="BI201" s="29">
        <v>259.60923270749316</v>
      </c>
      <c r="BJ201" s="29">
        <v>601.26759507323072</v>
      </c>
      <c r="BK201" s="29">
        <v>0</v>
      </c>
      <c r="BL201" s="29">
        <v>724.36308786723248</v>
      </c>
      <c r="BM201" s="29">
        <v>1585.2399156479562</v>
      </c>
      <c r="BN201" s="29">
        <v>44.663527585051895</v>
      </c>
      <c r="BO201" s="29">
        <v>-25.710366106999945</v>
      </c>
      <c r="BP201" s="29">
        <v>14.37603927011248</v>
      </c>
      <c r="BQ201" s="29">
        <v>0</v>
      </c>
      <c r="BR201" s="29">
        <v>0</v>
      </c>
      <c r="BS201" s="29">
        <v>0</v>
      </c>
      <c r="BT201" s="29">
        <v>0</v>
      </c>
      <c r="BU201" s="29">
        <v>0</v>
      </c>
      <c r="BV201" s="29">
        <v>-34.607416112648252</v>
      </c>
      <c r="BW201" s="29">
        <v>0</v>
      </c>
      <c r="BX201" s="29">
        <v>1638.0166508240679</v>
      </c>
      <c r="BY201" s="29">
        <v>236.70010763866532</v>
      </c>
      <c r="BZ201" s="29">
        <v>0</v>
      </c>
      <c r="CA201" s="29">
        <v>0</v>
      </c>
      <c r="CB201" s="29">
        <v>-1.2782153644838239</v>
      </c>
      <c r="CC201" s="29">
        <v>1874.7167584627332</v>
      </c>
      <c r="CD201" s="107">
        <v>3.0510859425974035E-2</v>
      </c>
      <c r="CE201" s="29">
        <v>1624.0877492683064</v>
      </c>
      <c r="CF201" s="29">
        <v>0.82668422781677509</v>
      </c>
      <c r="CG201" s="29">
        <v>-0.38765996884801501</v>
      </c>
      <c r="CH201" s="29">
        <v>0.43902425896876007</v>
      </c>
      <c r="CI201" s="29">
        <v>4.133370985098847E-2</v>
      </c>
      <c r="CJ201" s="29">
        <v>-1.9382998442400726E-2</v>
      </c>
      <c r="CK201" s="29">
        <v>2.1950711408587745E-2</v>
      </c>
      <c r="CL201" s="29"/>
      <c r="CM201" s="29">
        <v>-3.3133330670770471</v>
      </c>
      <c r="CN201" s="29"/>
      <c r="CO201" s="29">
        <v>0</v>
      </c>
      <c r="CP201" s="29">
        <v>0</v>
      </c>
      <c r="CQ201" s="29">
        <v>-25.710366106999945</v>
      </c>
      <c r="CR201" s="29">
        <v>0</v>
      </c>
      <c r="CS201" s="29">
        <v>0</v>
      </c>
      <c r="CT201" s="29">
        <v>-25.710366106999945</v>
      </c>
      <c r="CU201" s="29">
        <v>0</v>
      </c>
      <c r="CV201" s="29">
        <v>9999</v>
      </c>
      <c r="CW201" s="107">
        <v>0</v>
      </c>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row>
    <row r="202" spans="1:131">
      <c r="A202" s="7" t="s">
        <v>478</v>
      </c>
      <c r="B202" s="7"/>
      <c r="C202" s="29">
        <v>12.999999999999996</v>
      </c>
      <c r="D202" s="29">
        <v>80.514844431711921</v>
      </c>
      <c r="E202" s="29">
        <v>-3.3258467421661342</v>
      </c>
      <c r="F202" s="29">
        <v>1183.5005381933324</v>
      </c>
      <c r="G202" s="29">
        <v>0</v>
      </c>
      <c r="H202" s="29">
        <v>0</v>
      </c>
      <c r="I202" s="29"/>
      <c r="J202" s="29"/>
      <c r="K202" s="29"/>
      <c r="L202" s="29">
        <v>86.442796713311679</v>
      </c>
      <c r="M202" s="29">
        <v>1.8500463749028924E-2</v>
      </c>
      <c r="N202" s="29">
        <v>1.8366935698102594E-2</v>
      </c>
      <c r="O202" s="29">
        <v>-3.3591052166267192</v>
      </c>
      <c r="P202" s="29">
        <v>0</v>
      </c>
      <c r="Q202" s="29">
        <v>0</v>
      </c>
      <c r="R202" s="29">
        <v>236.00581711026078</v>
      </c>
      <c r="S202" s="29">
        <v>545.37354705966402</v>
      </c>
      <c r="T202" s="29">
        <v>0</v>
      </c>
      <c r="U202" s="29">
        <v>856.63728665415113</v>
      </c>
      <c r="V202" s="29">
        <v>71.010032291599941</v>
      </c>
      <c r="W202" s="29">
        <v>165.69007534706654</v>
      </c>
      <c r="X202" s="29">
        <v>0</v>
      </c>
      <c r="Y202" s="29">
        <v>0</v>
      </c>
      <c r="Z202" s="29">
        <v>0</v>
      </c>
      <c r="AA202" s="29">
        <v>0</v>
      </c>
      <c r="AB202" s="29">
        <v>0</v>
      </c>
      <c r="AC202" s="29">
        <v>0</v>
      </c>
      <c r="AD202" s="29">
        <v>0</v>
      </c>
      <c r="AE202" s="29">
        <v>0</v>
      </c>
      <c r="AF202" s="29">
        <v>0</v>
      </c>
      <c r="AG202" s="29">
        <v>0</v>
      </c>
      <c r="AH202" s="29">
        <v>307.01584940186069</v>
      </c>
      <c r="AI202" s="29">
        <v>711.06362240673059</v>
      </c>
      <c r="AJ202" s="29">
        <v>0</v>
      </c>
      <c r="AK202" s="29">
        <v>856.63728665415113</v>
      </c>
      <c r="AL202" s="29">
        <v>1874.7167584627423</v>
      </c>
      <c r="AM202" s="29">
        <v>44.367792080099235</v>
      </c>
      <c r="AN202" s="29">
        <v>6.5371108369462325</v>
      </c>
      <c r="AO202" s="29">
        <v>0</v>
      </c>
      <c r="AP202" s="29">
        <v>0</v>
      </c>
      <c r="AQ202" s="29">
        <v>50.904902917045469</v>
      </c>
      <c r="AR202" s="29">
        <v>307.01584940186069</v>
      </c>
      <c r="AS202" s="107">
        <v>0.16580545602521898</v>
      </c>
      <c r="AT202" s="29">
        <v>44.367792080099235</v>
      </c>
      <c r="AU202" s="29">
        <v>7.7379921529217839</v>
      </c>
      <c r="AV202" s="29">
        <v>0</v>
      </c>
      <c r="AW202" s="29">
        <v>0</v>
      </c>
      <c r="AX202" s="29">
        <v>52.105784233021019</v>
      </c>
      <c r="AY202" s="29">
        <v>711.06362240673059</v>
      </c>
      <c r="AZ202" s="107">
        <v>7.3278652698698099E-2</v>
      </c>
      <c r="BA202" s="29">
        <v>44.367792080099235</v>
      </c>
      <c r="BB202" s="29">
        <v>14.275102989868016</v>
      </c>
      <c r="BC202" s="29">
        <v>0</v>
      </c>
      <c r="BD202" s="29">
        <v>0</v>
      </c>
      <c r="BE202" s="29">
        <v>58.642895069967253</v>
      </c>
      <c r="BF202" s="29">
        <v>1018.0794718085913</v>
      </c>
      <c r="BG202" s="29">
        <v>854.45734350970963</v>
      </c>
      <c r="BH202" s="107">
        <v>5.7601490545516748E-2</v>
      </c>
      <c r="BI202" s="29">
        <v>261.33772201450279</v>
      </c>
      <c r="BJ202" s="29">
        <v>605.27086028031397</v>
      </c>
      <c r="BK202" s="29">
        <v>0</v>
      </c>
      <c r="BL202" s="29">
        <v>729.18592809796394</v>
      </c>
      <c r="BM202" s="29">
        <v>1595.7945103927807</v>
      </c>
      <c r="BN202" s="29">
        <v>44.367792080099235</v>
      </c>
      <c r="BO202" s="29">
        <v>-26.065542812330282</v>
      </c>
      <c r="BP202" s="29">
        <v>14.275102989868016</v>
      </c>
      <c r="BQ202" s="29">
        <v>0</v>
      </c>
      <c r="BR202" s="29">
        <v>0</v>
      </c>
      <c r="BS202" s="29">
        <v>0</v>
      </c>
      <c r="BT202" s="29">
        <v>0</v>
      </c>
      <c r="BU202" s="29">
        <v>0</v>
      </c>
      <c r="BV202" s="29">
        <v>-34.995718206254097</v>
      </c>
      <c r="BW202" s="29">
        <v>0</v>
      </c>
      <c r="BX202" s="29">
        <v>1638.0166508240759</v>
      </c>
      <c r="BY202" s="29">
        <v>236.70010763866651</v>
      </c>
      <c r="BZ202" s="29">
        <v>0</v>
      </c>
      <c r="CA202" s="29">
        <v>0</v>
      </c>
      <c r="CB202" s="29">
        <v>-2.4183659486171258</v>
      </c>
      <c r="CC202" s="29">
        <v>1874.7167584627423</v>
      </c>
      <c r="CD202" s="107">
        <v>3.0294225102153013E-2</v>
      </c>
      <c r="CE202" s="29">
        <v>1635.6197766937105</v>
      </c>
      <c r="CF202" s="29">
        <v>0.82121653457264776</v>
      </c>
      <c r="CG202" s="29">
        <v>-0.39301531034532622</v>
      </c>
      <c r="CH202" s="29">
        <v>0.42820122422732154</v>
      </c>
      <c r="CI202" s="29">
        <v>4.1060328438823034E-2</v>
      </c>
      <c r="CJ202" s="29">
        <v>-1.9650765517266307E-2</v>
      </c>
      <c r="CK202" s="29">
        <v>2.1409562921556727E-2</v>
      </c>
      <c r="CL202" s="29"/>
      <c r="CM202" s="29">
        <v>-3.3591052166267192</v>
      </c>
      <c r="CN202" s="29"/>
      <c r="CO202" s="29">
        <v>0</v>
      </c>
      <c r="CP202" s="29">
        <v>0</v>
      </c>
      <c r="CQ202" s="29">
        <v>-26.065542812330282</v>
      </c>
      <c r="CR202" s="29">
        <v>0</v>
      </c>
      <c r="CS202" s="29">
        <v>0</v>
      </c>
      <c r="CT202" s="29">
        <v>-26.065542812330282</v>
      </c>
      <c r="CU202" s="29">
        <v>0</v>
      </c>
      <c r="CV202" s="29">
        <v>9999</v>
      </c>
      <c r="CW202" s="107">
        <v>0</v>
      </c>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row>
    <row r="203" spans="1:131">
      <c r="A203" s="7" t="s">
        <v>492</v>
      </c>
      <c r="B203" s="7"/>
      <c r="C203" s="29">
        <v>12.999999999999998</v>
      </c>
      <c r="D203" s="29">
        <v>46.576116840125955</v>
      </c>
      <c r="E203" s="29">
        <v>-6.3582610676235357E-2</v>
      </c>
      <c r="F203" s="29">
        <v>1183.5005381933265</v>
      </c>
      <c r="G203" s="29">
        <v>0</v>
      </c>
      <c r="H203" s="29">
        <v>0</v>
      </c>
      <c r="I203" s="29"/>
      <c r="J203" s="29"/>
      <c r="K203" s="29"/>
      <c r="L203" s="29">
        <v>50.096541596068619</v>
      </c>
      <c r="M203" s="29">
        <v>2.1282420994286143E-2</v>
      </c>
      <c r="N203" s="29">
        <v>2.1128814023514405E-2</v>
      </c>
      <c r="O203" s="29">
        <v>-6.4218436543765384E-2</v>
      </c>
      <c r="P203" s="29">
        <v>0</v>
      </c>
      <c r="Q203" s="29">
        <v>0</v>
      </c>
      <c r="R203" s="29">
        <v>236.00581711025961</v>
      </c>
      <c r="S203" s="29">
        <v>545.37354705966141</v>
      </c>
      <c r="T203" s="29">
        <v>0</v>
      </c>
      <c r="U203" s="29">
        <v>856.63728665414692</v>
      </c>
      <c r="V203" s="29">
        <v>71.010032291599586</v>
      </c>
      <c r="W203" s="29">
        <v>165.69007534706572</v>
      </c>
      <c r="X203" s="29">
        <v>0</v>
      </c>
      <c r="Y203" s="29">
        <v>0</v>
      </c>
      <c r="Z203" s="29">
        <v>0</v>
      </c>
      <c r="AA203" s="29">
        <v>0</v>
      </c>
      <c r="AB203" s="29">
        <v>0</v>
      </c>
      <c r="AC203" s="29">
        <v>0</v>
      </c>
      <c r="AD203" s="29">
        <v>0</v>
      </c>
      <c r="AE203" s="29">
        <v>0</v>
      </c>
      <c r="AF203" s="29">
        <v>0</v>
      </c>
      <c r="AG203" s="29">
        <v>0</v>
      </c>
      <c r="AH203" s="29">
        <v>307.01584940185921</v>
      </c>
      <c r="AI203" s="29">
        <v>711.06362240672706</v>
      </c>
      <c r="AJ203" s="29">
        <v>0</v>
      </c>
      <c r="AK203" s="29">
        <v>856.63728665414692</v>
      </c>
      <c r="AL203" s="29">
        <v>1874.7167584627332</v>
      </c>
      <c r="AM203" s="29">
        <v>25.411661109681141</v>
      </c>
      <c r="AN203" s="29">
        <v>7.5201112148068479</v>
      </c>
      <c r="AO203" s="29">
        <v>0</v>
      </c>
      <c r="AP203" s="29">
        <v>0</v>
      </c>
      <c r="AQ203" s="29">
        <v>32.931772324487987</v>
      </c>
      <c r="AR203" s="29">
        <v>307.01584940185921</v>
      </c>
      <c r="AS203" s="107">
        <v>0.10726407899998325</v>
      </c>
      <c r="AT203" s="29">
        <v>25.411661109681141</v>
      </c>
      <c r="AU203" s="29">
        <v>8.9015718137124047</v>
      </c>
      <c r="AV203" s="29">
        <v>0</v>
      </c>
      <c r="AW203" s="29">
        <v>0</v>
      </c>
      <c r="AX203" s="29">
        <v>34.313232923393542</v>
      </c>
      <c r="AY203" s="29">
        <v>711.06362240672706</v>
      </c>
      <c r="AZ203" s="107">
        <v>4.8256206395784984E-2</v>
      </c>
      <c r="BA203" s="29">
        <v>25.411661109681141</v>
      </c>
      <c r="BB203" s="29">
        <v>16.421683028519254</v>
      </c>
      <c r="BC203" s="29">
        <v>0</v>
      </c>
      <c r="BD203" s="29">
        <v>0</v>
      </c>
      <c r="BE203" s="29">
        <v>41.833344138200388</v>
      </c>
      <c r="BF203" s="29">
        <v>1018.0794718085863</v>
      </c>
      <c r="BG203" s="29">
        <v>1471.2339610789686</v>
      </c>
      <c r="BH203" s="107">
        <v>4.1090450496840646E-2</v>
      </c>
      <c r="BI203" s="29">
        <v>450.9445733753476</v>
      </c>
      <c r="BJ203" s="29">
        <v>1044.4095393564687</v>
      </c>
      <c r="BK203" s="29">
        <v>0</v>
      </c>
      <c r="BL203" s="29">
        <v>1258.2279922038786</v>
      </c>
      <c r="BM203" s="29">
        <v>2753.5821049356946</v>
      </c>
      <c r="BN203" s="29">
        <v>25.411661109681141</v>
      </c>
      <c r="BO203" s="29">
        <v>-0.49187200211072557</v>
      </c>
      <c r="BP203" s="29">
        <v>16.421683028519254</v>
      </c>
      <c r="BQ203" s="29">
        <v>0</v>
      </c>
      <c r="BR203" s="29">
        <v>0</v>
      </c>
      <c r="BS203" s="29">
        <v>0</v>
      </c>
      <c r="BT203" s="29">
        <v>0</v>
      </c>
      <c r="BU203" s="29">
        <v>0</v>
      </c>
      <c r="BV203" s="29">
        <v>-15.527873530618727</v>
      </c>
      <c r="BW203" s="29">
        <v>0</v>
      </c>
      <c r="BX203" s="29">
        <v>1638.0166508240679</v>
      </c>
      <c r="BY203" s="29">
        <v>236.70010763866532</v>
      </c>
      <c r="BZ203" s="29">
        <v>0</v>
      </c>
      <c r="CA203" s="29">
        <v>0</v>
      </c>
      <c r="CB203" s="29">
        <v>25.813598605470936</v>
      </c>
      <c r="CC203" s="29">
        <v>1874.7167584627332</v>
      </c>
      <c r="CD203" s="107">
        <v>2.2125422579930672E-2</v>
      </c>
      <c r="CE203" s="29">
        <v>2752.9917395427819</v>
      </c>
      <c r="CF203" s="29">
        <v>0.47590086931369907</v>
      </c>
      <c r="CG203" s="29">
        <v>-7.5135570756205677E-3</v>
      </c>
      <c r="CH203" s="29">
        <v>0.4683873122380785</v>
      </c>
      <c r="CI203" s="29">
        <v>2.3795857258132581E-2</v>
      </c>
      <c r="CJ203" s="29">
        <v>-3.7567785378102758E-4</v>
      </c>
      <c r="CK203" s="29">
        <v>2.3420179404351555E-2</v>
      </c>
      <c r="CL203" s="29"/>
      <c r="CM203" s="29">
        <v>-6.4218436543765384E-2</v>
      </c>
      <c r="CN203" s="29"/>
      <c r="CO203" s="29">
        <v>0</v>
      </c>
      <c r="CP203" s="29">
        <v>0</v>
      </c>
      <c r="CQ203" s="29">
        <v>-0.49187200211072557</v>
      </c>
      <c r="CR203" s="29">
        <v>0</v>
      </c>
      <c r="CS203" s="29">
        <v>0</v>
      </c>
      <c r="CT203" s="29">
        <v>-0.49187200211072557</v>
      </c>
      <c r="CU203" s="29">
        <v>0</v>
      </c>
      <c r="CV203" s="29">
        <v>9999</v>
      </c>
      <c r="CW203" s="107">
        <v>0</v>
      </c>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7"/>
    </row>
    <row r="204" spans="1:131">
      <c r="A204" s="7" t="s">
        <v>481</v>
      </c>
      <c r="B204" s="7"/>
      <c r="C204" s="29">
        <v>13.000000000000002</v>
      </c>
      <c r="D204" s="29">
        <v>46.525537208810604</v>
      </c>
      <c r="E204" s="29">
        <v>-6.9490010107839964E-2</v>
      </c>
      <c r="F204" s="29">
        <v>1183.5005381933324</v>
      </c>
      <c r="G204" s="29">
        <v>0</v>
      </c>
      <c r="H204" s="29">
        <v>0</v>
      </c>
      <c r="I204" s="29"/>
      <c r="J204" s="29"/>
      <c r="K204" s="29"/>
      <c r="L204" s="29">
        <v>50.040314629419214</v>
      </c>
      <c r="M204" s="29">
        <v>2.104178715284186E-2</v>
      </c>
      <c r="N204" s="29">
        <v>2.0889916969226964E-2</v>
      </c>
      <c r="O204" s="29">
        <v>-7.0184909947459184E-2</v>
      </c>
      <c r="P204" s="29">
        <v>0</v>
      </c>
      <c r="Q204" s="29">
        <v>0</v>
      </c>
      <c r="R204" s="29">
        <v>236.00581711026078</v>
      </c>
      <c r="S204" s="29">
        <v>545.37354705966402</v>
      </c>
      <c r="T204" s="29">
        <v>0</v>
      </c>
      <c r="U204" s="29">
        <v>856.63728665415113</v>
      </c>
      <c r="V204" s="29">
        <v>71.010032291599941</v>
      </c>
      <c r="W204" s="29">
        <v>165.69007534706654</v>
      </c>
      <c r="X204" s="29">
        <v>0</v>
      </c>
      <c r="Y204" s="29">
        <v>0</v>
      </c>
      <c r="Z204" s="29">
        <v>0</v>
      </c>
      <c r="AA204" s="29">
        <v>0</v>
      </c>
      <c r="AB204" s="29">
        <v>0</v>
      </c>
      <c r="AC204" s="29">
        <v>0</v>
      </c>
      <c r="AD204" s="29">
        <v>0</v>
      </c>
      <c r="AE204" s="29">
        <v>0</v>
      </c>
      <c r="AF204" s="29">
        <v>0</v>
      </c>
      <c r="AG204" s="29">
        <v>0</v>
      </c>
      <c r="AH204" s="29">
        <v>307.01584940186069</v>
      </c>
      <c r="AI204" s="29">
        <v>711.06362240673059</v>
      </c>
      <c r="AJ204" s="29">
        <v>0</v>
      </c>
      <c r="AK204" s="29">
        <v>856.63728665415113</v>
      </c>
      <c r="AL204" s="29">
        <v>1874.7167584627423</v>
      </c>
      <c r="AM204" s="29">
        <v>25.389974779393949</v>
      </c>
      <c r="AN204" s="29">
        <v>7.4350836115002004</v>
      </c>
      <c r="AO204" s="29">
        <v>0</v>
      </c>
      <c r="AP204" s="29">
        <v>0</v>
      </c>
      <c r="AQ204" s="29">
        <v>32.825058390894149</v>
      </c>
      <c r="AR204" s="29">
        <v>307.01584940186069</v>
      </c>
      <c r="AS204" s="107">
        <v>0.10691649455506974</v>
      </c>
      <c r="AT204" s="29">
        <v>25.389974779393949</v>
      </c>
      <c r="AU204" s="29">
        <v>8.800924456863255</v>
      </c>
      <c r="AV204" s="29">
        <v>0</v>
      </c>
      <c r="AW204" s="29">
        <v>0</v>
      </c>
      <c r="AX204" s="29">
        <v>34.190899236257202</v>
      </c>
      <c r="AY204" s="29">
        <v>711.06362240673059</v>
      </c>
      <c r="AZ204" s="107">
        <v>4.8084163159031502E-2</v>
      </c>
      <c r="BA204" s="29">
        <v>25.389974779393949</v>
      </c>
      <c r="BB204" s="29">
        <v>16.236008068363454</v>
      </c>
      <c r="BC204" s="29">
        <v>0</v>
      </c>
      <c r="BD204" s="29">
        <v>0</v>
      </c>
      <c r="BE204" s="29">
        <v>41.625982847757399</v>
      </c>
      <c r="BF204" s="29">
        <v>1018.0794718085913</v>
      </c>
      <c r="BG204" s="29">
        <v>1473.1601142644085</v>
      </c>
      <c r="BH204" s="107">
        <v>4.0886771613035215E-2</v>
      </c>
      <c r="BI204" s="29">
        <v>451.4512697395848</v>
      </c>
      <c r="BJ204" s="29">
        <v>1045.5830727519492</v>
      </c>
      <c r="BK204" s="29">
        <v>0</v>
      </c>
      <c r="BL204" s="29">
        <v>1259.6417791450524</v>
      </c>
      <c r="BM204" s="29">
        <v>2756.6761216365862</v>
      </c>
      <c r="BN204" s="29">
        <v>25.389974779393949</v>
      </c>
      <c r="BO204" s="29">
        <v>-0.53757135850373328</v>
      </c>
      <c r="BP204" s="29">
        <v>16.236008068363454</v>
      </c>
      <c r="BQ204" s="29">
        <v>0</v>
      </c>
      <c r="BR204" s="29">
        <v>0</v>
      </c>
      <c r="BS204" s="29">
        <v>0</v>
      </c>
      <c r="BT204" s="29">
        <v>0</v>
      </c>
      <c r="BU204" s="29">
        <v>0</v>
      </c>
      <c r="BV204" s="29">
        <v>-15.123723329118565</v>
      </c>
      <c r="BW204" s="29">
        <v>0</v>
      </c>
      <c r="BX204" s="29">
        <v>1638.0166508240759</v>
      </c>
      <c r="BY204" s="29">
        <v>236.70010763866651</v>
      </c>
      <c r="BZ204" s="29">
        <v>0</v>
      </c>
      <c r="CA204" s="29">
        <v>0</v>
      </c>
      <c r="CB204" s="29">
        <v>25.964688160135108</v>
      </c>
      <c r="CC204" s="29">
        <v>1874.7167584627423</v>
      </c>
      <c r="CD204" s="107">
        <v>2.2019924944847204E-2</v>
      </c>
      <c r="CE204" s="29">
        <v>2755.8310346940802</v>
      </c>
      <c r="CF204" s="29">
        <v>0.4753672014097603</v>
      </c>
      <c r="CG204" s="29">
        <v>-8.2116344638527225E-3</v>
      </c>
      <c r="CH204" s="29">
        <v>0.4671555669459076</v>
      </c>
      <c r="CI204" s="29">
        <v>2.3769149448974104E-2</v>
      </c>
      <c r="CJ204" s="29">
        <v>-4.1058172319263629E-4</v>
      </c>
      <c r="CK204" s="29">
        <v>2.3358567725781466E-2</v>
      </c>
      <c r="CL204" s="29"/>
      <c r="CM204" s="29">
        <v>-7.0184909947459184E-2</v>
      </c>
      <c r="CN204" s="29"/>
      <c r="CO204" s="29">
        <v>0</v>
      </c>
      <c r="CP204" s="29">
        <v>0</v>
      </c>
      <c r="CQ204" s="29">
        <v>-0.53757135850373328</v>
      </c>
      <c r="CR204" s="29">
        <v>0</v>
      </c>
      <c r="CS204" s="29">
        <v>0</v>
      </c>
      <c r="CT204" s="29">
        <v>-0.53757135850373328</v>
      </c>
      <c r="CU204" s="29">
        <v>0</v>
      </c>
      <c r="CV204" s="29">
        <v>9999</v>
      </c>
      <c r="CW204" s="107">
        <v>0</v>
      </c>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7"/>
    </row>
    <row r="205" spans="1:131">
      <c r="A205" s="7" t="s">
        <v>493</v>
      </c>
      <c r="B205" s="7"/>
      <c r="C205" s="29">
        <v>13</v>
      </c>
      <c r="D205" s="29">
        <v>30.716436505304298</v>
      </c>
      <c r="E205" s="29">
        <v>-9.5289969558249615E-2</v>
      </c>
      <c r="F205" s="29">
        <v>1183.5005381933265</v>
      </c>
      <c r="G205" s="29">
        <v>0</v>
      </c>
      <c r="H205" s="29">
        <v>0</v>
      </c>
      <c r="I205" s="29"/>
      <c r="J205" s="29"/>
      <c r="K205" s="29"/>
      <c r="L205" s="29">
        <v>32.764624802907406</v>
      </c>
      <c r="M205" s="29">
        <v>-1.2107729772340772E-3</v>
      </c>
      <c r="N205" s="29">
        <v>-1.2020341608477703E-3</v>
      </c>
      <c r="O205" s="29">
        <v>-9.6242868917707738E-2</v>
      </c>
      <c r="P205" s="29">
        <v>0</v>
      </c>
      <c r="Q205" s="29">
        <v>0</v>
      </c>
      <c r="R205" s="29">
        <v>236.00581711025961</v>
      </c>
      <c r="S205" s="29">
        <v>545.37354705966141</v>
      </c>
      <c r="T205" s="29">
        <v>0</v>
      </c>
      <c r="U205" s="29">
        <v>856.63728665414692</v>
      </c>
      <c r="V205" s="29">
        <v>71.010032291599586</v>
      </c>
      <c r="W205" s="29">
        <v>165.69007534706572</v>
      </c>
      <c r="X205" s="29">
        <v>0</v>
      </c>
      <c r="Y205" s="29">
        <v>0</v>
      </c>
      <c r="Z205" s="29">
        <v>0</v>
      </c>
      <c r="AA205" s="29">
        <v>0</v>
      </c>
      <c r="AB205" s="29">
        <v>0</v>
      </c>
      <c r="AC205" s="29">
        <v>0</v>
      </c>
      <c r="AD205" s="29">
        <v>0</v>
      </c>
      <c r="AE205" s="29">
        <v>0</v>
      </c>
      <c r="AF205" s="29">
        <v>0</v>
      </c>
      <c r="AG205" s="29">
        <v>0</v>
      </c>
      <c r="AH205" s="29">
        <v>307.01584940185921</v>
      </c>
      <c r="AI205" s="29">
        <v>711.06362240672706</v>
      </c>
      <c r="AJ205" s="29">
        <v>0</v>
      </c>
      <c r="AK205" s="29">
        <v>856.63728665414692</v>
      </c>
      <c r="AL205" s="29">
        <v>1874.7167584627332</v>
      </c>
      <c r="AM205" s="29">
        <v>16.4203847275223</v>
      </c>
      <c r="AN205" s="29">
        <v>-0.42782479714725863</v>
      </c>
      <c r="AO205" s="29">
        <v>0</v>
      </c>
      <c r="AP205" s="29">
        <v>0</v>
      </c>
      <c r="AQ205" s="29">
        <v>15.992559930375041</v>
      </c>
      <c r="AR205" s="29">
        <v>307.01584940185921</v>
      </c>
      <c r="AS205" s="107">
        <v>5.340940830967783E-2</v>
      </c>
      <c r="AT205" s="29">
        <v>16.4203847275223</v>
      </c>
      <c r="AU205" s="29">
        <v>-0.50641713223533813</v>
      </c>
      <c r="AV205" s="29">
        <v>0</v>
      </c>
      <c r="AW205" s="29">
        <v>0</v>
      </c>
      <c r="AX205" s="29">
        <v>15.913967595286962</v>
      </c>
      <c r="AY205" s="29">
        <v>711.06362240672706</v>
      </c>
      <c r="AZ205" s="107">
        <v>2.3076273332364203E-2</v>
      </c>
      <c r="BA205" s="29">
        <v>16.4203847275223</v>
      </c>
      <c r="BB205" s="29">
        <v>-0.93424192938259765</v>
      </c>
      <c r="BC205" s="29">
        <v>0</v>
      </c>
      <c r="BD205" s="29">
        <v>0</v>
      </c>
      <c r="BE205" s="29">
        <v>15.486142798139703</v>
      </c>
      <c r="BF205" s="29">
        <v>1018.0794718085863</v>
      </c>
      <c r="BG205" s="29">
        <v>2288.4685271617268</v>
      </c>
      <c r="BH205" s="107">
        <v>1.6113997786436726E-2</v>
      </c>
      <c r="BI205" s="29">
        <v>689.48641144259034</v>
      </c>
      <c r="BJ205" s="29">
        <v>1596.8840249640036</v>
      </c>
      <c r="BK205" s="29">
        <v>0</v>
      </c>
      <c r="BL205" s="29">
        <v>1923.8087213861884</v>
      </c>
      <c r="BM205" s="29">
        <v>4210.1791577927825</v>
      </c>
      <c r="BN205" s="29">
        <v>16.4203847275223</v>
      </c>
      <c r="BO205" s="29">
        <v>-0.74650792446655656</v>
      </c>
      <c r="BP205" s="29">
        <v>-0.93424192938259765</v>
      </c>
      <c r="BQ205" s="29">
        <v>0</v>
      </c>
      <c r="BR205" s="29">
        <v>0</v>
      </c>
      <c r="BS205" s="29">
        <v>0</v>
      </c>
      <c r="BT205" s="29">
        <v>0</v>
      </c>
      <c r="BU205" s="29">
        <v>0</v>
      </c>
      <c r="BV205" s="29">
        <v>-21.638672303515456</v>
      </c>
      <c r="BW205" s="29">
        <v>0</v>
      </c>
      <c r="BX205" s="29">
        <v>1638.0166508240679</v>
      </c>
      <c r="BY205" s="29">
        <v>236.70010763866532</v>
      </c>
      <c r="BZ205" s="29">
        <v>0</v>
      </c>
      <c r="CA205" s="29">
        <v>0</v>
      </c>
      <c r="CB205" s="29">
        <v>-6.8990374298423101</v>
      </c>
      <c r="CC205" s="29">
        <v>1874.7167584627332</v>
      </c>
      <c r="CD205" s="107">
        <v>8.651249589013461E-3</v>
      </c>
      <c r="CE205" s="29">
        <v>4262.5491729940195</v>
      </c>
      <c r="CF205" s="29">
        <v>0.31127060334557943</v>
      </c>
      <c r="CG205" s="29">
        <v>-1.1260415663371801E-2</v>
      </c>
      <c r="CH205" s="29">
        <v>0.30001018768220761</v>
      </c>
      <c r="CI205" s="29">
        <v>1.5563196781381008E-2</v>
      </c>
      <c r="CJ205" s="29">
        <v>-5.6302078316859043E-4</v>
      </c>
      <c r="CK205" s="29">
        <v>1.5000175998212418E-2</v>
      </c>
      <c r="CL205" s="29"/>
      <c r="CM205" s="29">
        <v>-9.6242868917707738E-2</v>
      </c>
      <c r="CN205" s="29"/>
      <c r="CO205" s="29">
        <v>0</v>
      </c>
      <c r="CP205" s="29">
        <v>0</v>
      </c>
      <c r="CQ205" s="29">
        <v>-0.74650792446655656</v>
      </c>
      <c r="CR205" s="29">
        <v>0</v>
      </c>
      <c r="CS205" s="29">
        <v>0</v>
      </c>
      <c r="CT205" s="29">
        <v>-0.74650792446655656</v>
      </c>
      <c r="CU205" s="29">
        <v>0</v>
      </c>
      <c r="CV205" s="29">
        <v>9999</v>
      </c>
      <c r="CW205" s="107">
        <v>0</v>
      </c>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row>
    <row r="206" spans="1:131">
      <c r="A206" s="7" t="s">
        <v>482</v>
      </c>
      <c r="B206" s="7"/>
      <c r="C206" s="29">
        <v>13.000000000000005</v>
      </c>
      <c r="D206" s="29">
        <v>29.670854136474393</v>
      </c>
      <c r="E206" s="29">
        <v>-0.10629003081412733</v>
      </c>
      <c r="F206" s="29">
        <v>1183.5005381933324</v>
      </c>
      <c r="G206" s="29">
        <v>0</v>
      </c>
      <c r="H206" s="29">
        <v>0</v>
      </c>
      <c r="I206" s="29"/>
      <c r="J206" s="29"/>
      <c r="K206" s="29"/>
      <c r="L206" s="29">
        <v>31.639902913345086</v>
      </c>
      <c r="M206" s="29">
        <v>-1.5401398661715332E-3</v>
      </c>
      <c r="N206" s="29">
        <v>-1.5290238272833365E-3</v>
      </c>
      <c r="O206" s="29">
        <v>-0.10735293074734278</v>
      </c>
      <c r="P206" s="29">
        <v>0</v>
      </c>
      <c r="Q206" s="29">
        <v>0</v>
      </c>
      <c r="R206" s="29">
        <v>236.00581711026078</v>
      </c>
      <c r="S206" s="29">
        <v>545.37354705966402</v>
      </c>
      <c r="T206" s="29">
        <v>0</v>
      </c>
      <c r="U206" s="29">
        <v>856.63728665415113</v>
      </c>
      <c r="V206" s="29">
        <v>71.010032291599941</v>
      </c>
      <c r="W206" s="29">
        <v>165.69007534706654</v>
      </c>
      <c r="X206" s="29">
        <v>0</v>
      </c>
      <c r="Y206" s="29">
        <v>0</v>
      </c>
      <c r="Z206" s="29">
        <v>0</v>
      </c>
      <c r="AA206" s="29">
        <v>0</v>
      </c>
      <c r="AB206" s="29">
        <v>0</v>
      </c>
      <c r="AC206" s="29">
        <v>0</v>
      </c>
      <c r="AD206" s="29">
        <v>0</v>
      </c>
      <c r="AE206" s="29">
        <v>0</v>
      </c>
      <c r="AF206" s="29">
        <v>0</v>
      </c>
      <c r="AG206" s="29">
        <v>0</v>
      </c>
      <c r="AH206" s="29">
        <v>307.01584940186069</v>
      </c>
      <c r="AI206" s="29">
        <v>711.06362240673059</v>
      </c>
      <c r="AJ206" s="29">
        <v>0</v>
      </c>
      <c r="AK206" s="29">
        <v>856.63728665415113</v>
      </c>
      <c r="AL206" s="29">
        <v>1874.7167584627423</v>
      </c>
      <c r="AM206" s="29">
        <v>15.838889926545416</v>
      </c>
      <c r="AN206" s="29">
        <v>-0.54420608835231565</v>
      </c>
      <c r="AO206" s="29">
        <v>0</v>
      </c>
      <c r="AP206" s="29">
        <v>0</v>
      </c>
      <c r="AQ206" s="29">
        <v>15.294683838193102</v>
      </c>
      <c r="AR206" s="29">
        <v>307.01584940186069</v>
      </c>
      <c r="AS206" s="107">
        <v>5.149852734062025E-2</v>
      </c>
      <c r="AT206" s="29">
        <v>15.838889926545416</v>
      </c>
      <c r="AU206" s="29">
        <v>-0.64417791686237535</v>
      </c>
      <c r="AV206" s="29">
        <v>0</v>
      </c>
      <c r="AW206" s="29">
        <v>0</v>
      </c>
      <c r="AX206" s="29">
        <v>15.194712009683041</v>
      </c>
      <c r="AY206" s="29">
        <v>711.06362240673059</v>
      </c>
      <c r="AZ206" s="107">
        <v>2.2254765114761887E-2</v>
      </c>
      <c r="BA206" s="29">
        <v>15.838889926545416</v>
      </c>
      <c r="BB206" s="29">
        <v>-1.1883840052146901</v>
      </c>
      <c r="BC206" s="29">
        <v>0</v>
      </c>
      <c r="BD206" s="29">
        <v>0</v>
      </c>
      <c r="BE206" s="29">
        <v>14.650505921330726</v>
      </c>
      <c r="BF206" s="29">
        <v>1018.0794718085913</v>
      </c>
      <c r="BG206" s="29">
        <v>2370.4090714151662</v>
      </c>
      <c r="BH206" s="107">
        <v>1.5539477514376529E-2</v>
      </c>
      <c r="BI206" s="29">
        <v>713.99598284137858</v>
      </c>
      <c r="BJ206" s="29">
        <v>1653.6493830274796</v>
      </c>
      <c r="BK206" s="29">
        <v>0</v>
      </c>
      <c r="BL206" s="29">
        <v>1992.1954603152017</v>
      </c>
      <c r="BM206" s="29">
        <v>4359.8408261840596</v>
      </c>
      <c r="BN206" s="29">
        <v>15.838889926545416</v>
      </c>
      <c r="BO206" s="29">
        <v>-0.83268313194325427</v>
      </c>
      <c r="BP206" s="29">
        <v>-1.1883840052146901</v>
      </c>
      <c r="BQ206" s="29">
        <v>0</v>
      </c>
      <c r="BR206" s="29">
        <v>0</v>
      </c>
      <c r="BS206" s="29">
        <v>0</v>
      </c>
      <c r="BT206" s="29">
        <v>0</v>
      </c>
      <c r="BU206" s="29">
        <v>0</v>
      </c>
      <c r="BV206" s="29">
        <v>-21.885451486481585</v>
      </c>
      <c r="BW206" s="29">
        <v>0</v>
      </c>
      <c r="BX206" s="29">
        <v>1638.0166508240759</v>
      </c>
      <c r="BY206" s="29">
        <v>236.70010763866651</v>
      </c>
      <c r="BZ206" s="29">
        <v>0</v>
      </c>
      <c r="CA206" s="29">
        <v>0</v>
      </c>
      <c r="CB206" s="29">
        <v>-8.0676286970941131</v>
      </c>
      <c r="CC206" s="29">
        <v>1874.7167584627423</v>
      </c>
      <c r="CD206" s="107">
        <v>8.342302613529369E-3</v>
      </c>
      <c r="CE206" s="29">
        <v>4415.4378199361927</v>
      </c>
      <c r="CF206" s="29">
        <v>0.30058564476616234</v>
      </c>
      <c r="CG206" s="29">
        <v>-1.2560292897439106E-2</v>
      </c>
      <c r="CH206" s="29">
        <v>0.28802535186872325</v>
      </c>
      <c r="CI206" s="29">
        <v>1.5028953883838908E-2</v>
      </c>
      <c r="CJ206" s="29">
        <v>-6.2801464487195551E-4</v>
      </c>
      <c r="CK206" s="29">
        <v>1.4400939238966952E-2</v>
      </c>
      <c r="CL206" s="29"/>
      <c r="CM206" s="29">
        <v>-0.10735293074734278</v>
      </c>
      <c r="CN206" s="29"/>
      <c r="CO206" s="29">
        <v>0</v>
      </c>
      <c r="CP206" s="29">
        <v>0</v>
      </c>
      <c r="CQ206" s="29">
        <v>-0.83268313194325427</v>
      </c>
      <c r="CR206" s="29">
        <v>0</v>
      </c>
      <c r="CS206" s="29">
        <v>0</v>
      </c>
      <c r="CT206" s="29">
        <v>-0.83268313194325427</v>
      </c>
      <c r="CU206" s="29">
        <v>0</v>
      </c>
      <c r="CV206" s="29">
        <v>9999</v>
      </c>
      <c r="CW206" s="107">
        <v>0</v>
      </c>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row>
    <row r="207" spans="1:131">
      <c r="A207" s="7" t="s">
        <v>491</v>
      </c>
      <c r="B207" s="7"/>
      <c r="C207" s="29">
        <v>13</v>
      </c>
      <c r="D207" s="29">
        <v>24.005314832417209</v>
      </c>
      <c r="E207" s="29">
        <v>-0.10736797974600408</v>
      </c>
      <c r="F207" s="29">
        <v>1183.5005381933265</v>
      </c>
      <c r="G207" s="29">
        <v>0</v>
      </c>
      <c r="H207" s="29">
        <v>0</v>
      </c>
      <c r="I207" s="29"/>
      <c r="J207" s="29"/>
      <c r="K207" s="29"/>
      <c r="L207" s="29">
        <v>25.501566796410994</v>
      </c>
      <c r="M207" s="29">
        <v>-1.353700259592094E-2</v>
      </c>
      <c r="N207" s="29">
        <v>-1.3439298581765458E-2</v>
      </c>
      <c r="O207" s="29">
        <v>-0.108441659770701</v>
      </c>
      <c r="P207" s="29">
        <v>0</v>
      </c>
      <c r="Q207" s="29">
        <v>0</v>
      </c>
      <c r="R207" s="29">
        <v>236.00581711025961</v>
      </c>
      <c r="S207" s="29">
        <v>545.37354705966141</v>
      </c>
      <c r="T207" s="29">
        <v>0</v>
      </c>
      <c r="U207" s="29">
        <v>856.63728665414692</v>
      </c>
      <c r="V207" s="29">
        <v>71.010032291599586</v>
      </c>
      <c r="W207" s="29">
        <v>165.69007534706572</v>
      </c>
      <c r="X207" s="29">
        <v>0</v>
      </c>
      <c r="Y207" s="29">
        <v>0</v>
      </c>
      <c r="Z207" s="29">
        <v>0</v>
      </c>
      <c r="AA207" s="29">
        <v>0</v>
      </c>
      <c r="AB207" s="29">
        <v>0</v>
      </c>
      <c r="AC207" s="29">
        <v>0</v>
      </c>
      <c r="AD207" s="29">
        <v>0</v>
      </c>
      <c r="AE207" s="29">
        <v>0</v>
      </c>
      <c r="AF207" s="29">
        <v>0</v>
      </c>
      <c r="AG207" s="29">
        <v>0</v>
      </c>
      <c r="AH207" s="29">
        <v>307.01584940185921</v>
      </c>
      <c r="AI207" s="29">
        <v>711.06362240672706</v>
      </c>
      <c r="AJ207" s="29">
        <v>0</v>
      </c>
      <c r="AK207" s="29">
        <v>856.63728665414692</v>
      </c>
      <c r="AL207" s="29">
        <v>1874.7167584627332</v>
      </c>
      <c r="AM207" s="29">
        <v>12.260984733735686</v>
      </c>
      <c r="AN207" s="29">
        <v>-4.7832793582922442</v>
      </c>
      <c r="AO207" s="29">
        <v>0</v>
      </c>
      <c r="AP207" s="29">
        <v>0</v>
      </c>
      <c r="AQ207" s="29">
        <v>7.4777053754434419</v>
      </c>
      <c r="AR207" s="29">
        <v>307.01584940185921</v>
      </c>
      <c r="AS207" s="107">
        <v>3.932334507312666E-2</v>
      </c>
      <c r="AT207" s="29">
        <v>12.260984733735686</v>
      </c>
      <c r="AU207" s="29">
        <v>-5.6619780607832748</v>
      </c>
      <c r="AV207" s="29">
        <v>0</v>
      </c>
      <c r="AW207" s="29">
        <v>0</v>
      </c>
      <c r="AX207" s="29">
        <v>6.5990066729524113</v>
      </c>
      <c r="AY207" s="29">
        <v>711.06362240672706</v>
      </c>
      <c r="AZ207" s="107">
        <v>1.7106944032329822E-2</v>
      </c>
      <c r="BA207" s="29">
        <v>12.260984733735686</v>
      </c>
      <c r="BB207" s="29">
        <v>-10.445257419075519</v>
      </c>
      <c r="BC207" s="29">
        <v>0</v>
      </c>
      <c r="BD207" s="29">
        <v>0</v>
      </c>
      <c r="BE207" s="29">
        <v>1.8157273146601671</v>
      </c>
      <c r="BF207" s="29">
        <v>1018.0794718085863</v>
      </c>
      <c r="BG207" s="29">
        <v>2967.6862773585121</v>
      </c>
      <c r="BH207" s="107">
        <v>1.1920943060788326E-2</v>
      </c>
      <c r="BI207" s="29">
        <v>885.85786739969501</v>
      </c>
      <c r="BJ207" s="29">
        <v>2051.6898569175651</v>
      </c>
      <c r="BK207" s="29">
        <v>0</v>
      </c>
      <c r="BL207" s="29">
        <v>2471.72542189253</v>
      </c>
      <c r="BM207" s="29">
        <v>5409.27314620979</v>
      </c>
      <c r="BN207" s="29">
        <v>12.260984733735686</v>
      </c>
      <c r="BO207" s="29">
        <v>-0.84147132736493413</v>
      </c>
      <c r="BP207" s="29">
        <v>-10.445257419075519</v>
      </c>
      <c r="BQ207" s="29">
        <v>0</v>
      </c>
      <c r="BR207" s="29">
        <v>0</v>
      </c>
      <c r="BS207" s="29">
        <v>0</v>
      </c>
      <c r="BT207" s="29">
        <v>0</v>
      </c>
      <c r="BU207" s="29">
        <v>0</v>
      </c>
      <c r="BV207" s="29">
        <v>-24.398803275474187</v>
      </c>
      <c r="BW207" s="29">
        <v>0</v>
      </c>
      <c r="BX207" s="29">
        <v>1638.0166508240679</v>
      </c>
      <c r="BY207" s="29">
        <v>236.70010763866532</v>
      </c>
      <c r="BZ207" s="29">
        <v>0</v>
      </c>
      <c r="CA207" s="29">
        <v>0</v>
      </c>
      <c r="CB207" s="29">
        <v>-23.424547288178957</v>
      </c>
      <c r="CC207" s="29">
        <v>1874.7167584627332</v>
      </c>
      <c r="CD207" s="107">
        <v>6.4180119521450177E-3</v>
      </c>
      <c r="CE207" s="29">
        <v>5512.2395219051987</v>
      </c>
      <c r="CF207" s="29">
        <v>0.24227118732777728</v>
      </c>
      <c r="CG207" s="29">
        <v>-1.2687674193172026E-2</v>
      </c>
      <c r="CH207" s="29">
        <v>0.22958351313460526</v>
      </c>
      <c r="CI207" s="29">
        <v>1.2113244228295206E-2</v>
      </c>
      <c r="CJ207" s="29">
        <v>-6.3438370965860095E-4</v>
      </c>
      <c r="CK207" s="29">
        <v>1.1478860518636605E-2</v>
      </c>
      <c r="CL207" s="29"/>
      <c r="CM207" s="29">
        <v>-0.108441659770701</v>
      </c>
      <c r="CN207" s="29"/>
      <c r="CO207" s="29">
        <v>0</v>
      </c>
      <c r="CP207" s="29">
        <v>0</v>
      </c>
      <c r="CQ207" s="29">
        <v>-0.84147132736493413</v>
      </c>
      <c r="CR207" s="29">
        <v>0</v>
      </c>
      <c r="CS207" s="29">
        <v>0</v>
      </c>
      <c r="CT207" s="29">
        <v>-0.84147132736493413</v>
      </c>
      <c r="CU207" s="29">
        <v>0</v>
      </c>
      <c r="CV207" s="29">
        <v>9999</v>
      </c>
      <c r="CW207" s="107">
        <v>0</v>
      </c>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row>
    <row r="208" spans="1:131">
      <c r="A208" s="7" t="s">
        <v>480</v>
      </c>
      <c r="B208" s="7"/>
      <c r="C208" s="29">
        <v>13</v>
      </c>
      <c r="D208" s="29">
        <v>22.944215635323612</v>
      </c>
      <c r="E208" s="29">
        <v>-0.11974287287715706</v>
      </c>
      <c r="F208" s="29">
        <v>1183.5005381933324</v>
      </c>
      <c r="G208" s="29">
        <v>0</v>
      </c>
      <c r="H208" s="29">
        <v>0</v>
      </c>
      <c r="I208" s="29"/>
      <c r="J208" s="29"/>
      <c r="K208" s="29"/>
      <c r="L208" s="29">
        <v>24.359737456425254</v>
      </c>
      <c r="M208" s="29">
        <v>-1.3963938996475144E-2</v>
      </c>
      <c r="N208" s="29">
        <v>-1.3863153546837356E-2</v>
      </c>
      <c r="O208" s="29">
        <v>-0.1209403018593561</v>
      </c>
      <c r="P208" s="29">
        <v>0</v>
      </c>
      <c r="Q208" s="29">
        <v>0</v>
      </c>
      <c r="R208" s="29">
        <v>236.00581711026078</v>
      </c>
      <c r="S208" s="29">
        <v>545.37354705966402</v>
      </c>
      <c r="T208" s="29">
        <v>0</v>
      </c>
      <c r="U208" s="29">
        <v>856.63728665415113</v>
      </c>
      <c r="V208" s="29">
        <v>71.010032291599941</v>
      </c>
      <c r="W208" s="29">
        <v>165.69007534706654</v>
      </c>
      <c r="X208" s="29">
        <v>0</v>
      </c>
      <c r="Y208" s="29">
        <v>0</v>
      </c>
      <c r="Z208" s="29">
        <v>0</v>
      </c>
      <c r="AA208" s="29">
        <v>0</v>
      </c>
      <c r="AB208" s="29">
        <v>0</v>
      </c>
      <c r="AC208" s="29">
        <v>0</v>
      </c>
      <c r="AD208" s="29">
        <v>0</v>
      </c>
      <c r="AE208" s="29">
        <v>0</v>
      </c>
      <c r="AF208" s="29">
        <v>0</v>
      </c>
      <c r="AG208" s="29">
        <v>0</v>
      </c>
      <c r="AH208" s="29">
        <v>307.01584940186069</v>
      </c>
      <c r="AI208" s="29">
        <v>711.06362240673059</v>
      </c>
      <c r="AJ208" s="29">
        <v>0</v>
      </c>
      <c r="AK208" s="29">
        <v>856.63728665415113</v>
      </c>
      <c r="AL208" s="29">
        <v>1874.7167584627423</v>
      </c>
      <c r="AM208" s="29">
        <v>11.666969252822259</v>
      </c>
      <c r="AN208" s="29">
        <v>-4.9341366886062623</v>
      </c>
      <c r="AO208" s="29">
        <v>0</v>
      </c>
      <c r="AP208" s="29">
        <v>0</v>
      </c>
      <c r="AQ208" s="29">
        <v>6.7328325642159967</v>
      </c>
      <c r="AR208" s="29">
        <v>307.01584940186069</v>
      </c>
      <c r="AS208" s="107">
        <v>3.7400127498126524E-2</v>
      </c>
      <c r="AT208" s="29">
        <v>11.666969252822259</v>
      </c>
      <c r="AU208" s="29">
        <v>-5.8405482070293928</v>
      </c>
      <c r="AV208" s="29">
        <v>0</v>
      </c>
      <c r="AW208" s="29">
        <v>0</v>
      </c>
      <c r="AX208" s="29">
        <v>5.8264210457928662</v>
      </c>
      <c r="AY208" s="29">
        <v>711.06362240673059</v>
      </c>
      <c r="AZ208" s="107">
        <v>1.6274098730425669E-2</v>
      </c>
      <c r="BA208" s="29">
        <v>11.666969252822259</v>
      </c>
      <c r="BB208" s="29">
        <v>-10.774684895635655</v>
      </c>
      <c r="BC208" s="29">
        <v>0</v>
      </c>
      <c r="BD208" s="29">
        <v>0</v>
      </c>
      <c r="BE208" s="29">
        <v>0.89228435718660393</v>
      </c>
      <c r="BF208" s="29">
        <v>1018.0794718085913</v>
      </c>
      <c r="BG208" s="29">
        <v>3107.7875867341945</v>
      </c>
      <c r="BH208" s="107">
        <v>1.1339769759200435E-2</v>
      </c>
      <c r="BI208" s="29">
        <v>927.38124201995311</v>
      </c>
      <c r="BJ208" s="29">
        <v>2147.8600097925896</v>
      </c>
      <c r="BK208" s="29">
        <v>0</v>
      </c>
      <c r="BL208" s="29">
        <v>2587.5841667642408</v>
      </c>
      <c r="BM208" s="29">
        <v>5662.8254185767828</v>
      </c>
      <c r="BN208" s="29">
        <v>11.666969252822259</v>
      </c>
      <c r="BO208" s="29">
        <v>-0.93845664620677471</v>
      </c>
      <c r="BP208" s="29">
        <v>-10.774684895635655</v>
      </c>
      <c r="BQ208" s="29">
        <v>0</v>
      </c>
      <c r="BR208" s="29">
        <v>0</v>
      </c>
      <c r="BS208" s="29">
        <v>0</v>
      </c>
      <c r="BT208" s="29">
        <v>0</v>
      </c>
      <c r="BU208" s="29">
        <v>0</v>
      </c>
      <c r="BV208" s="29">
        <v>-24.669652909072546</v>
      </c>
      <c r="BW208" s="29">
        <v>0</v>
      </c>
      <c r="BX208" s="29">
        <v>1638.0166508240759</v>
      </c>
      <c r="BY208" s="29">
        <v>236.70010763866651</v>
      </c>
      <c r="BZ208" s="29">
        <v>0</v>
      </c>
      <c r="CA208" s="29">
        <v>0</v>
      </c>
      <c r="CB208" s="29">
        <v>-24.715825198092716</v>
      </c>
      <c r="CC208" s="29">
        <v>1874.7167584627423</v>
      </c>
      <c r="CD208" s="107">
        <v>6.1048464142199341E-3</v>
      </c>
      <c r="CE208" s="29">
        <v>5772.7243738645357</v>
      </c>
      <c r="CF208" s="29">
        <v>0.23142370927885444</v>
      </c>
      <c r="CG208" s="29">
        <v>-1.4150015317544657E-2</v>
      </c>
      <c r="CH208" s="29">
        <v>0.2172736939613098</v>
      </c>
      <c r="CI208" s="29">
        <v>1.1570875291801985E-2</v>
      </c>
      <c r="CJ208" s="29">
        <v>-7.0750076587723296E-4</v>
      </c>
      <c r="CK208" s="29">
        <v>1.0863374525924752E-2</v>
      </c>
      <c r="CL208" s="29"/>
      <c r="CM208" s="29">
        <v>-0.1209403018593561</v>
      </c>
      <c r="CN208" s="29"/>
      <c r="CO208" s="29">
        <v>0</v>
      </c>
      <c r="CP208" s="29">
        <v>0</v>
      </c>
      <c r="CQ208" s="29">
        <v>-0.93845664620677471</v>
      </c>
      <c r="CR208" s="29">
        <v>0</v>
      </c>
      <c r="CS208" s="29">
        <v>0</v>
      </c>
      <c r="CT208" s="29">
        <v>-0.93845664620677471</v>
      </c>
      <c r="CU208" s="29">
        <v>0</v>
      </c>
      <c r="CV208" s="29">
        <v>9999</v>
      </c>
      <c r="CW208" s="107">
        <v>0</v>
      </c>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row>
    <row r="209" spans="1:131">
      <c r="A209" s="7"/>
      <c r="B209" s="7"/>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107"/>
      <c r="AT209" s="29"/>
      <c r="AU209" s="29"/>
      <c r="AV209" s="29"/>
      <c r="AW209" s="29"/>
      <c r="AX209" s="29"/>
      <c r="AY209" s="29"/>
      <c r="AZ209" s="107"/>
      <c r="BA209" s="29"/>
      <c r="BB209" s="29"/>
      <c r="BC209" s="29"/>
      <c r="BD209" s="29"/>
      <c r="BE209" s="29"/>
      <c r="BF209" s="29"/>
      <c r="BG209" s="29"/>
      <c r="BH209" s="107"/>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107"/>
      <c r="CE209" s="29"/>
      <c r="CF209" s="29"/>
      <c r="CG209" s="29"/>
      <c r="CH209" s="29"/>
      <c r="CI209" s="29"/>
      <c r="CJ209" s="29"/>
      <c r="CK209" s="29"/>
      <c r="CL209" s="29"/>
      <c r="CM209" s="29"/>
      <c r="CN209" s="29"/>
      <c r="CO209" s="29"/>
      <c r="CP209" s="29"/>
      <c r="CQ209" s="29"/>
      <c r="CR209" s="29"/>
      <c r="CS209" s="29"/>
      <c r="CT209" s="29"/>
      <c r="CU209" s="29"/>
      <c r="CV209" s="29"/>
      <c r="CW209" s="107"/>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7"/>
    </row>
    <row r="210" spans="1:131">
      <c r="A210" s="7"/>
      <c r="B210" s="7"/>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107"/>
      <c r="AT210" s="29"/>
      <c r="AU210" s="29"/>
      <c r="AV210" s="29"/>
      <c r="AW210" s="29"/>
      <c r="AX210" s="29"/>
      <c r="AY210" s="29"/>
      <c r="AZ210" s="107"/>
      <c r="BA210" s="29"/>
      <c r="BB210" s="29"/>
      <c r="BC210" s="29"/>
      <c r="BD210" s="29"/>
      <c r="BE210" s="29"/>
      <c r="BF210" s="29"/>
      <c r="BG210" s="29"/>
      <c r="BH210" s="107"/>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107"/>
      <c r="CE210" s="29"/>
      <c r="CF210" s="29"/>
      <c r="CG210" s="29"/>
      <c r="CH210" s="29"/>
      <c r="CI210" s="29"/>
      <c r="CJ210" s="29"/>
      <c r="CK210" s="29"/>
      <c r="CL210" s="29"/>
      <c r="CM210" s="29"/>
      <c r="CN210" s="29"/>
      <c r="CO210" s="29"/>
      <c r="CP210" s="29"/>
      <c r="CQ210" s="29"/>
      <c r="CR210" s="29"/>
      <c r="CS210" s="29"/>
      <c r="CT210" s="29"/>
      <c r="CU210" s="29"/>
      <c r="CV210" s="29"/>
      <c r="CW210" s="107"/>
      <c r="CX210" s="7"/>
      <c r="CY210" s="7"/>
      <c r="CZ210" s="7"/>
      <c r="DA210" s="7"/>
      <c r="DB210" s="7"/>
      <c r="DC210" s="7"/>
      <c r="DD210" s="7"/>
      <c r="DE210" s="7"/>
      <c r="DF210" s="7"/>
      <c r="DG210" s="7"/>
      <c r="DH210" s="7"/>
      <c r="DI210" s="7"/>
      <c r="DJ210" s="7"/>
      <c r="DK210" s="7"/>
      <c r="DL210" s="7"/>
      <c r="DM210" s="7"/>
      <c r="DN210" s="7"/>
      <c r="DO210" s="7"/>
      <c r="DP210" s="7"/>
      <c r="DQ210" s="7"/>
      <c r="DR210" s="7"/>
      <c r="DS210" s="7"/>
      <c r="DT210" s="7"/>
      <c r="DU210" s="7"/>
      <c r="DV210" s="7"/>
      <c r="DW210" s="7"/>
      <c r="DX210" s="7"/>
      <c r="DY210" s="7"/>
      <c r="DZ210" s="7"/>
      <c r="EA210" s="7"/>
    </row>
    <row r="211" spans="1:131" ht="13.5" thickBot="1">
      <c r="A211" s="27" t="s">
        <v>347</v>
      </c>
      <c r="B211" s="28"/>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107"/>
      <c r="AT211" s="29"/>
      <c r="AU211" s="29"/>
      <c r="AV211" s="29"/>
      <c r="AW211" s="29"/>
      <c r="AX211" s="29"/>
      <c r="AY211" s="29"/>
      <c r="AZ211" s="107"/>
      <c r="BA211" s="29"/>
      <c r="BB211" s="29"/>
      <c r="BC211" s="29"/>
      <c r="BD211" s="29"/>
      <c r="BE211" s="29"/>
      <c r="BF211" s="29"/>
      <c r="BG211" s="29"/>
      <c r="BH211" s="107"/>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107"/>
      <c r="CE211" s="29"/>
      <c r="CF211" s="29"/>
      <c r="CG211" s="29"/>
      <c r="CH211" s="29"/>
      <c r="CI211" s="29"/>
      <c r="CJ211" s="29"/>
      <c r="CK211" s="29"/>
      <c r="CL211" s="29"/>
      <c r="CM211" s="29"/>
      <c r="CN211" s="29"/>
      <c r="CO211" s="29"/>
      <c r="CP211" s="29"/>
      <c r="CQ211" s="29"/>
      <c r="CR211" s="29"/>
      <c r="CS211" s="29"/>
      <c r="CT211" s="29"/>
      <c r="CU211" s="29"/>
      <c r="CV211" s="29"/>
      <c r="CW211" s="107"/>
      <c r="CX211" s="7"/>
      <c r="CY211" s="7"/>
      <c r="CZ211" s="7"/>
      <c r="DA211" s="7"/>
      <c r="DB211" s="7"/>
      <c r="DC211" s="7"/>
      <c r="DD211" s="7"/>
      <c r="DE211" s="7"/>
      <c r="DF211" s="7"/>
      <c r="DG211" s="7"/>
      <c r="DH211" s="7"/>
      <c r="DI211" s="7"/>
      <c r="DJ211" s="7"/>
      <c r="DK211" s="7"/>
      <c r="DL211" s="7"/>
      <c r="DM211" s="7"/>
      <c r="DN211" s="7"/>
      <c r="DO211" s="7"/>
      <c r="DP211" s="7"/>
      <c r="DQ211" s="7"/>
      <c r="DR211" s="7"/>
      <c r="DS211" s="7"/>
      <c r="DT211" s="7"/>
      <c r="DU211" s="7"/>
      <c r="DV211" s="7"/>
      <c r="DW211" s="7"/>
      <c r="DX211" s="7"/>
      <c r="DY211" s="7"/>
      <c r="DZ211" s="7"/>
      <c r="EA211" s="7"/>
    </row>
    <row r="212" spans="1:131" ht="13.5" thickBot="1">
      <c r="A212" s="108" t="s">
        <v>348</v>
      </c>
      <c r="B212" s="109"/>
      <c r="C212" s="110"/>
      <c r="D212" s="110"/>
      <c r="E212" s="110"/>
      <c r="F212" s="110"/>
      <c r="G212" s="110"/>
      <c r="H212" s="110"/>
      <c r="I212" s="110"/>
      <c r="J212" s="110"/>
      <c r="K212" s="110"/>
      <c r="L212" s="34"/>
      <c r="M212" s="111"/>
      <c r="N212" s="112" t="s">
        <v>557</v>
      </c>
      <c r="O212" s="110"/>
      <c r="P212" s="110"/>
      <c r="Q212" s="110"/>
      <c r="R212" s="110"/>
      <c r="S212" s="110"/>
      <c r="T212" s="110"/>
      <c r="U212" s="110"/>
      <c r="V212" s="110"/>
      <c r="W212" s="110"/>
      <c r="X212" s="110"/>
      <c r="Y212" s="34"/>
      <c r="Z212" s="111"/>
      <c r="AA212" s="112" t="s">
        <v>558</v>
      </c>
      <c r="AB212" s="110"/>
      <c r="AC212" s="110"/>
      <c r="AD212" s="110"/>
      <c r="AE212" s="110"/>
      <c r="AF212" s="110"/>
      <c r="AG212" s="110"/>
      <c r="AH212" s="110"/>
      <c r="AI212" s="110"/>
      <c r="AJ212" s="110"/>
      <c r="AK212" s="110"/>
      <c r="AL212" s="34"/>
      <c r="AM212" s="29"/>
      <c r="AN212" s="29"/>
      <c r="AO212" s="29"/>
      <c r="AP212" s="29"/>
      <c r="AQ212" s="29"/>
      <c r="AR212" s="29"/>
      <c r="AS212" s="107"/>
      <c r="AT212" s="29"/>
      <c r="AU212" s="29"/>
      <c r="AV212" s="29"/>
      <c r="AW212" s="29"/>
      <c r="AX212" s="29"/>
      <c r="AY212" s="29"/>
      <c r="AZ212" s="107"/>
      <c r="BA212" s="29"/>
      <c r="BB212" s="29"/>
      <c r="BC212" s="29"/>
      <c r="BD212" s="29"/>
      <c r="BE212" s="29"/>
      <c r="BF212" s="29"/>
      <c r="BG212" s="29"/>
      <c r="BH212" s="107"/>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107"/>
      <c r="CE212" s="29"/>
      <c r="CF212" s="29"/>
      <c r="CG212" s="29"/>
      <c r="CH212" s="29"/>
      <c r="CI212" s="29"/>
      <c r="CJ212" s="29"/>
      <c r="CK212" s="29"/>
      <c r="CL212" s="29"/>
      <c r="CM212" s="29"/>
      <c r="CN212" s="29"/>
      <c r="CO212" s="29"/>
      <c r="CP212" s="29"/>
      <c r="CQ212" s="29"/>
      <c r="CR212" s="29"/>
      <c r="CS212" s="29"/>
      <c r="CT212" s="29"/>
      <c r="CU212" s="29"/>
      <c r="CV212" s="29"/>
      <c r="CW212" s="10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row>
    <row r="213" spans="1:131" ht="191.25">
      <c r="A213" s="30"/>
      <c r="B213" s="31" t="s">
        <v>349</v>
      </c>
      <c r="C213" s="32" t="s">
        <v>350</v>
      </c>
      <c r="D213" s="32" t="s">
        <v>25</v>
      </c>
      <c r="E213" s="32" t="s">
        <v>26</v>
      </c>
      <c r="F213" s="32" t="s">
        <v>27</v>
      </c>
      <c r="G213" s="32" t="s">
        <v>28</v>
      </c>
      <c r="H213" s="32" t="s">
        <v>29</v>
      </c>
      <c r="I213" s="32" t="s">
        <v>30</v>
      </c>
      <c r="J213" s="32" t="s">
        <v>31</v>
      </c>
      <c r="K213" s="32" t="s">
        <v>24</v>
      </c>
      <c r="L213" s="32" t="s">
        <v>23</v>
      </c>
      <c r="M213" s="32" t="s">
        <v>32</v>
      </c>
      <c r="N213" s="32" t="s">
        <v>33</v>
      </c>
      <c r="O213" s="32" t="s">
        <v>34</v>
      </c>
      <c r="P213" s="32" t="s">
        <v>35</v>
      </c>
      <c r="Q213" s="32" t="s">
        <v>36</v>
      </c>
      <c r="R213" s="32" t="s">
        <v>37</v>
      </c>
      <c r="S213" s="32" t="s">
        <v>38</v>
      </c>
      <c r="T213" s="32" t="s">
        <v>39</v>
      </c>
      <c r="U213" s="32" t="s">
        <v>40</v>
      </c>
      <c r="V213" s="32" t="s">
        <v>41</v>
      </c>
      <c r="W213" s="32" t="s">
        <v>42</v>
      </c>
      <c r="X213" s="32" t="s">
        <v>43</v>
      </c>
      <c r="Y213" s="32" t="s">
        <v>44</v>
      </c>
      <c r="Z213" s="32"/>
      <c r="AA213" s="32" t="s">
        <v>33</v>
      </c>
      <c r="AB213" s="32" t="s">
        <v>34</v>
      </c>
      <c r="AC213" s="32" t="s">
        <v>35</v>
      </c>
      <c r="AD213" s="32" t="s">
        <v>36</v>
      </c>
      <c r="AE213" s="32" t="s">
        <v>37</v>
      </c>
      <c r="AF213" s="32" t="s">
        <v>38</v>
      </c>
      <c r="AG213" s="32" t="s">
        <v>39</v>
      </c>
      <c r="AH213" s="32" t="s">
        <v>40</v>
      </c>
      <c r="AI213" s="32" t="s">
        <v>41</v>
      </c>
      <c r="AJ213" s="32" t="s">
        <v>42</v>
      </c>
      <c r="AK213" s="32" t="s">
        <v>43</v>
      </c>
      <c r="AL213" s="32" t="s">
        <v>44</v>
      </c>
      <c r="AM213" s="29"/>
      <c r="AN213" s="29"/>
      <c r="AO213" s="29"/>
      <c r="AP213" s="29"/>
      <c r="AQ213" s="29"/>
      <c r="AR213" s="29"/>
      <c r="AS213" s="107"/>
      <c r="AT213" s="29"/>
      <c r="AU213" s="29"/>
      <c r="AV213" s="29"/>
      <c r="AW213" s="29"/>
      <c r="AX213" s="29"/>
      <c r="AY213" s="29"/>
      <c r="AZ213" s="107"/>
      <c r="BA213" s="29"/>
      <c r="BB213" s="29"/>
      <c r="BC213" s="29"/>
      <c r="BD213" s="29"/>
      <c r="BE213" s="29"/>
      <c r="BF213" s="29"/>
      <c r="BG213" s="29"/>
      <c r="BH213" s="107"/>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107"/>
      <c r="CE213" s="29"/>
      <c r="CF213" s="29"/>
      <c r="CG213" s="29"/>
      <c r="CH213" s="29"/>
      <c r="CI213" s="29"/>
      <c r="CJ213" s="29"/>
      <c r="CK213" s="29"/>
      <c r="CL213" s="29"/>
      <c r="CM213" s="29"/>
      <c r="CN213" s="29"/>
      <c r="CO213" s="29"/>
      <c r="CP213" s="29"/>
      <c r="CQ213" s="29"/>
      <c r="CR213" s="29"/>
      <c r="CS213" s="29"/>
      <c r="CT213" s="29"/>
      <c r="CU213" s="29"/>
      <c r="CV213" s="29"/>
      <c r="CW213" s="107"/>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7"/>
    </row>
    <row r="214" spans="1:131">
      <c r="A214" s="7"/>
      <c r="B214" s="45" t="s">
        <v>351</v>
      </c>
      <c r="C214" s="113">
        <v>8.6000387345886245E-5</v>
      </c>
      <c r="D214" s="113">
        <v>0</v>
      </c>
      <c r="E214" s="113">
        <v>0</v>
      </c>
      <c r="F214" s="113">
        <v>0</v>
      </c>
      <c r="G214" s="113">
        <v>0</v>
      </c>
      <c r="H214" s="113">
        <v>6.1126241260780773E-5</v>
      </c>
      <c r="I214" s="113">
        <v>0</v>
      </c>
      <c r="J214" s="113">
        <v>-13.819162190425684</v>
      </c>
      <c r="K214" s="113">
        <v>-13.819162190425684</v>
      </c>
      <c r="L214" s="33">
        <v>9999</v>
      </c>
      <c r="M214" s="29">
        <v>8.1703187309382962E-7</v>
      </c>
      <c r="N214" s="35">
        <v>4.6915091590205225E-6</v>
      </c>
      <c r="O214" s="35">
        <v>3.4957398197310944E-6</v>
      </c>
      <c r="P214" s="35">
        <v>3.1251790918668762E-6</v>
      </c>
      <c r="Q214" s="35">
        <v>2.9005322446378206E-6</v>
      </c>
      <c r="R214" s="35">
        <v>2.5695164927789372E-6</v>
      </c>
      <c r="S214" s="35">
        <v>2.0370831671021898E-6</v>
      </c>
      <c r="T214" s="35">
        <v>1.2080248224616085E-5</v>
      </c>
      <c r="U214" s="35">
        <v>1.2114894136972375E-5</v>
      </c>
      <c r="V214" s="35">
        <v>5.3977362145111084E-6</v>
      </c>
      <c r="W214" s="35">
        <v>2.7121559092107E-6</v>
      </c>
      <c r="X214" s="35">
        <v>3.0295536087970466E-6</v>
      </c>
      <c r="Y214" s="35">
        <v>5.4356558728197842E-6</v>
      </c>
      <c r="Z214" s="35"/>
      <c r="AA214" s="35">
        <v>3.1751415277479702E-6</v>
      </c>
      <c r="AB214" s="35">
        <v>2.3860691238959731E-6</v>
      </c>
      <c r="AC214" s="35">
        <v>1.8552939428180004E-6</v>
      </c>
      <c r="AD214" s="35">
        <v>1.72848023575422E-6</v>
      </c>
      <c r="AE214" s="35">
        <v>1.0791159002498686E-6</v>
      </c>
      <c r="AF214" s="35">
        <v>5.4517795553950552E-7</v>
      </c>
      <c r="AG214" s="35">
        <v>3.8854930081501251E-6</v>
      </c>
      <c r="AH214" s="35">
        <v>2.6526556751251994E-6</v>
      </c>
      <c r="AI214" s="35">
        <v>2.1318166240641316E-6</v>
      </c>
      <c r="AJ214" s="35">
        <v>1.2688580219263846E-6</v>
      </c>
      <c r="AK214" s="35">
        <v>2.0542336673866506E-6</v>
      </c>
      <c r="AL214" s="35">
        <v>3.6482477211636597E-6</v>
      </c>
      <c r="AM214" s="29"/>
      <c r="AN214" s="29"/>
      <c r="AO214" s="29"/>
      <c r="AP214" s="29"/>
      <c r="AQ214" s="29"/>
      <c r="AR214" s="29"/>
      <c r="AS214" s="107"/>
      <c r="AT214" s="29"/>
      <c r="AU214" s="29"/>
      <c r="AV214" s="29"/>
      <c r="AW214" s="29"/>
      <c r="AX214" s="29"/>
      <c r="AY214" s="29"/>
      <c r="AZ214" s="107"/>
      <c r="BA214" s="29"/>
      <c r="BB214" s="29"/>
      <c r="BC214" s="29"/>
      <c r="BD214" s="29"/>
      <c r="BE214" s="29"/>
      <c r="BF214" s="29"/>
      <c r="BG214" s="29"/>
      <c r="BH214" s="107"/>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107"/>
      <c r="CE214" s="29"/>
      <c r="CF214" s="29"/>
      <c r="CG214" s="29"/>
      <c r="CH214" s="29"/>
      <c r="CI214" s="29"/>
      <c r="CJ214" s="29"/>
      <c r="CK214" s="29"/>
      <c r="CL214" s="29"/>
      <c r="CM214" s="29"/>
      <c r="CN214" s="29"/>
      <c r="CO214" s="29"/>
      <c r="CP214" s="29"/>
      <c r="CQ214" s="29"/>
      <c r="CR214" s="29"/>
      <c r="CS214" s="29"/>
      <c r="CT214" s="29"/>
      <c r="CU214" s="29"/>
      <c r="CV214" s="29"/>
      <c r="CW214" s="10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row>
    <row r="215" spans="1:131">
      <c r="A215" s="7"/>
      <c r="B215" s="45" t="s">
        <v>352</v>
      </c>
      <c r="C215" s="114">
        <v>0</v>
      </c>
      <c r="D215" s="114">
        <v>0</v>
      </c>
      <c r="E215" s="114">
        <v>0</v>
      </c>
      <c r="F215" s="114">
        <v>0</v>
      </c>
      <c r="G215" s="114">
        <v>0</v>
      </c>
      <c r="H215" s="114">
        <v>0</v>
      </c>
      <c r="I215" s="114">
        <v>0</v>
      </c>
      <c r="J215" s="114">
        <v>0</v>
      </c>
      <c r="K215" s="114">
        <v>0</v>
      </c>
      <c r="L215" s="107">
        <v>0</v>
      </c>
      <c r="M215" s="115">
        <v>0</v>
      </c>
      <c r="N215" s="115">
        <v>0</v>
      </c>
      <c r="O215" s="115">
        <v>0</v>
      </c>
      <c r="P215" s="115">
        <v>0</v>
      </c>
      <c r="Q215" s="115">
        <v>0</v>
      </c>
      <c r="R215" s="115">
        <v>0</v>
      </c>
      <c r="S215" s="115">
        <v>0</v>
      </c>
      <c r="T215" s="115">
        <v>0</v>
      </c>
      <c r="U215" s="115">
        <v>0</v>
      </c>
      <c r="V215" s="115">
        <v>0</v>
      </c>
      <c r="W215" s="115">
        <v>0</v>
      </c>
      <c r="X215" s="115">
        <v>0</v>
      </c>
      <c r="Y215" s="115">
        <v>0</v>
      </c>
      <c r="Z215" s="115"/>
      <c r="AA215" s="115">
        <v>0</v>
      </c>
      <c r="AB215" s="115">
        <v>0</v>
      </c>
      <c r="AC215" s="115">
        <v>0</v>
      </c>
      <c r="AD215" s="115">
        <v>0</v>
      </c>
      <c r="AE215" s="115">
        <v>0</v>
      </c>
      <c r="AF215" s="115">
        <v>0</v>
      </c>
      <c r="AG215" s="115">
        <v>0</v>
      </c>
      <c r="AH215" s="115">
        <v>0</v>
      </c>
      <c r="AI215" s="115">
        <v>0</v>
      </c>
      <c r="AJ215" s="115">
        <v>0</v>
      </c>
      <c r="AK215" s="115">
        <v>0</v>
      </c>
      <c r="AL215" s="115">
        <v>0</v>
      </c>
      <c r="AM215" s="29"/>
      <c r="AN215" s="29"/>
      <c r="AO215" s="29"/>
      <c r="AP215" s="29"/>
      <c r="AQ215" s="29"/>
      <c r="AR215" s="29"/>
      <c r="AS215" s="107"/>
      <c r="AT215" s="29"/>
      <c r="AU215" s="29"/>
      <c r="AV215" s="29"/>
      <c r="AW215" s="29"/>
      <c r="AX215" s="29"/>
      <c r="AY215" s="29"/>
      <c r="AZ215" s="107"/>
      <c r="BA215" s="29"/>
      <c r="BB215" s="29"/>
      <c r="BC215" s="29"/>
      <c r="BD215" s="29"/>
      <c r="BE215" s="29"/>
      <c r="BF215" s="29"/>
      <c r="BG215" s="29"/>
      <c r="BH215" s="107"/>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107"/>
      <c r="CE215" s="29"/>
      <c r="CF215" s="29"/>
      <c r="CG215" s="29"/>
      <c r="CH215" s="29"/>
      <c r="CI215" s="29"/>
      <c r="CJ215" s="29"/>
      <c r="CK215" s="29"/>
      <c r="CL215" s="29"/>
      <c r="CM215" s="29"/>
      <c r="CN215" s="29"/>
      <c r="CO215" s="29"/>
      <c r="CP215" s="29"/>
      <c r="CQ215" s="29"/>
      <c r="CR215" s="29"/>
      <c r="CS215" s="29"/>
      <c r="CT215" s="29"/>
      <c r="CU215" s="29"/>
      <c r="CV215" s="29"/>
      <c r="CW215" s="10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row>
    <row r="216" spans="1:131">
      <c r="A216" s="7"/>
      <c r="B216" s="45" t="s">
        <v>353</v>
      </c>
      <c r="C216" s="114"/>
      <c r="D216" s="114"/>
      <c r="E216" s="114"/>
      <c r="F216" s="114"/>
      <c r="G216" s="114"/>
      <c r="H216" s="114"/>
      <c r="I216" s="114"/>
      <c r="J216" s="114"/>
      <c r="K216" s="114"/>
      <c r="L216" s="107"/>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29"/>
      <c r="AN216" s="29"/>
      <c r="AO216" s="29"/>
      <c r="AP216" s="29"/>
      <c r="AQ216" s="29"/>
      <c r="AR216" s="29"/>
      <c r="AS216" s="107"/>
      <c r="AT216" s="29"/>
      <c r="AU216" s="29"/>
      <c r="AV216" s="29"/>
      <c r="AW216" s="29"/>
      <c r="AX216" s="29"/>
      <c r="AY216" s="29"/>
      <c r="AZ216" s="107"/>
      <c r="BA216" s="29"/>
      <c r="BB216" s="29"/>
      <c r="BC216" s="29"/>
      <c r="BD216" s="29"/>
      <c r="BE216" s="29"/>
      <c r="BF216" s="29"/>
      <c r="BG216" s="29"/>
      <c r="BH216" s="107"/>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107"/>
      <c r="CE216" s="29"/>
      <c r="CF216" s="29"/>
      <c r="CG216" s="29"/>
      <c r="CH216" s="29"/>
      <c r="CI216" s="29"/>
      <c r="CJ216" s="29"/>
      <c r="CK216" s="29"/>
      <c r="CL216" s="29"/>
      <c r="CM216" s="29"/>
      <c r="CN216" s="29"/>
      <c r="CO216" s="29"/>
      <c r="CP216" s="29"/>
      <c r="CQ216" s="29"/>
      <c r="CR216" s="29"/>
      <c r="CS216" s="29"/>
      <c r="CT216" s="29"/>
      <c r="CU216" s="29"/>
      <c r="CV216" s="29"/>
      <c r="CW216" s="10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row>
    <row r="217" spans="1:131">
      <c r="A217" s="7"/>
      <c r="B217" s="7" t="s">
        <v>71</v>
      </c>
      <c r="C217" s="115">
        <v>0</v>
      </c>
      <c r="D217" s="115">
        <v>0</v>
      </c>
      <c r="E217" s="115">
        <v>0</v>
      </c>
      <c r="F217" s="115">
        <v>0</v>
      </c>
      <c r="G217" s="115">
        <v>0</v>
      </c>
      <c r="H217" s="115">
        <v>0</v>
      </c>
      <c r="I217" s="115">
        <v>0</v>
      </c>
      <c r="J217" s="115">
        <v>0</v>
      </c>
      <c r="K217" s="115">
        <v>0</v>
      </c>
      <c r="L217" s="107">
        <v>0</v>
      </c>
      <c r="M217" s="115">
        <v>0</v>
      </c>
      <c r="N217" s="115">
        <v>0</v>
      </c>
      <c r="O217" s="115">
        <v>0</v>
      </c>
      <c r="P217" s="115">
        <v>0</v>
      </c>
      <c r="Q217" s="115">
        <v>0</v>
      </c>
      <c r="R217" s="115">
        <v>0</v>
      </c>
      <c r="S217" s="115">
        <v>0</v>
      </c>
      <c r="T217" s="115">
        <v>0</v>
      </c>
      <c r="U217" s="115">
        <v>0</v>
      </c>
      <c r="V217" s="115">
        <v>0</v>
      </c>
      <c r="W217" s="115">
        <v>0</v>
      </c>
      <c r="X217" s="115">
        <v>0</v>
      </c>
      <c r="Y217" s="115">
        <v>0</v>
      </c>
      <c r="Z217" s="115"/>
      <c r="AA217" s="115">
        <v>0</v>
      </c>
      <c r="AB217" s="115">
        <v>0</v>
      </c>
      <c r="AC217" s="115">
        <v>0</v>
      </c>
      <c r="AD217" s="115">
        <v>0</v>
      </c>
      <c r="AE217" s="115">
        <v>0</v>
      </c>
      <c r="AF217" s="115">
        <v>0</v>
      </c>
      <c r="AG217" s="115">
        <v>0</v>
      </c>
      <c r="AH217" s="115">
        <v>0</v>
      </c>
      <c r="AI217" s="115">
        <v>0</v>
      </c>
      <c r="AJ217" s="115">
        <v>0</v>
      </c>
      <c r="AK217" s="115">
        <v>0</v>
      </c>
      <c r="AL217" s="115">
        <v>0</v>
      </c>
      <c r="AM217" s="29"/>
      <c r="AN217" s="29"/>
      <c r="AO217" s="29"/>
      <c r="AP217" s="29"/>
      <c r="AQ217" s="29"/>
      <c r="AR217" s="29"/>
      <c r="AS217" s="107"/>
      <c r="AT217" s="29"/>
      <c r="AU217" s="29"/>
      <c r="AV217" s="29"/>
      <c r="AW217" s="29"/>
      <c r="AX217" s="29"/>
      <c r="AY217" s="29"/>
      <c r="AZ217" s="107"/>
      <c r="BA217" s="29"/>
      <c r="BB217" s="29"/>
      <c r="BC217" s="29"/>
      <c r="BD217" s="29"/>
      <c r="BE217" s="29"/>
      <c r="BF217" s="29"/>
      <c r="BG217" s="29"/>
      <c r="BH217" s="107"/>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107"/>
      <c r="CE217" s="29"/>
      <c r="CF217" s="29"/>
      <c r="CG217" s="29"/>
      <c r="CH217" s="29"/>
      <c r="CI217" s="29"/>
      <c r="CJ217" s="29"/>
      <c r="CK217" s="29"/>
      <c r="CL217" s="29"/>
      <c r="CM217" s="29"/>
      <c r="CN217" s="29"/>
      <c r="CO217" s="29"/>
      <c r="CP217" s="29"/>
      <c r="CQ217" s="29"/>
      <c r="CR217" s="29"/>
      <c r="CS217" s="29"/>
      <c r="CT217" s="29"/>
      <c r="CU217" s="29"/>
      <c r="CV217" s="29"/>
      <c r="CW217" s="107"/>
      <c r="CX217" s="7"/>
      <c r="CY217" s="7"/>
      <c r="CZ217" s="7"/>
      <c r="DA217" s="7"/>
      <c r="DB217" s="7"/>
      <c r="DC217" s="7"/>
      <c r="DD217" s="7"/>
      <c r="DE217" s="7"/>
      <c r="DF217" s="7"/>
      <c r="DG217" s="7"/>
      <c r="DH217" s="7"/>
      <c r="DI217" s="7"/>
      <c r="DJ217" s="7"/>
      <c r="DK217" s="7"/>
      <c r="DL217" s="7"/>
      <c r="DM217" s="7"/>
      <c r="DN217" s="7"/>
      <c r="DO217" s="7"/>
      <c r="DP217" s="7"/>
      <c r="DQ217" s="7"/>
      <c r="DR217" s="7"/>
      <c r="DS217" s="7"/>
      <c r="DT217" s="7"/>
      <c r="DU217" s="7"/>
      <c r="DV217" s="7"/>
      <c r="DW217" s="7"/>
      <c r="DX217" s="7"/>
      <c r="DY217" s="7"/>
      <c r="DZ217" s="7"/>
      <c r="EA217" s="7"/>
    </row>
    <row r="218" spans="1:131">
      <c r="A218" s="7"/>
      <c r="B218" s="7" t="s">
        <v>74</v>
      </c>
      <c r="C218" s="115">
        <v>0</v>
      </c>
      <c r="D218" s="115">
        <v>0</v>
      </c>
      <c r="E218" s="115">
        <v>0</v>
      </c>
      <c r="F218" s="115">
        <v>0</v>
      </c>
      <c r="G218" s="115">
        <v>0</v>
      </c>
      <c r="H218" s="115">
        <v>0</v>
      </c>
      <c r="I218" s="115">
        <v>0</v>
      </c>
      <c r="J218" s="115">
        <v>0</v>
      </c>
      <c r="K218" s="115">
        <v>0</v>
      </c>
      <c r="L218" s="116">
        <v>0</v>
      </c>
      <c r="M218" s="115">
        <v>0</v>
      </c>
      <c r="N218" s="115">
        <v>0</v>
      </c>
      <c r="O218" s="115">
        <v>0</v>
      </c>
      <c r="P218" s="115">
        <v>0</v>
      </c>
      <c r="Q218" s="115">
        <v>0</v>
      </c>
      <c r="R218" s="115">
        <v>0</v>
      </c>
      <c r="S218" s="115">
        <v>0</v>
      </c>
      <c r="T218" s="115">
        <v>0</v>
      </c>
      <c r="U218" s="115">
        <v>0</v>
      </c>
      <c r="V218" s="115">
        <v>0</v>
      </c>
      <c r="W218" s="115">
        <v>0</v>
      </c>
      <c r="X218" s="115">
        <v>0</v>
      </c>
      <c r="Y218" s="115">
        <v>0</v>
      </c>
      <c r="Z218" s="115"/>
      <c r="AA218" s="115">
        <v>0</v>
      </c>
      <c r="AB218" s="115">
        <v>0</v>
      </c>
      <c r="AC218" s="115">
        <v>0</v>
      </c>
      <c r="AD218" s="115">
        <v>0</v>
      </c>
      <c r="AE218" s="115">
        <v>0</v>
      </c>
      <c r="AF218" s="115">
        <v>0</v>
      </c>
      <c r="AG218" s="115">
        <v>0</v>
      </c>
      <c r="AH218" s="115">
        <v>0</v>
      </c>
      <c r="AI218" s="115">
        <v>0</v>
      </c>
      <c r="AJ218" s="115">
        <v>0</v>
      </c>
      <c r="AK218" s="115">
        <v>0</v>
      </c>
      <c r="AL218" s="115">
        <v>0</v>
      </c>
      <c r="AM218" s="29"/>
      <c r="AN218" s="29"/>
      <c r="AO218" s="29"/>
      <c r="AP218" s="29"/>
      <c r="AQ218" s="29"/>
      <c r="AR218" s="29"/>
      <c r="AS218" s="107"/>
      <c r="AT218" s="29"/>
      <c r="AU218" s="29"/>
      <c r="AV218" s="29"/>
      <c r="AW218" s="29"/>
      <c r="AX218" s="29"/>
      <c r="AY218" s="29"/>
      <c r="AZ218" s="107"/>
      <c r="BA218" s="29"/>
      <c r="BB218" s="29"/>
      <c r="BC218" s="29"/>
      <c r="BD218" s="29"/>
      <c r="BE218" s="29"/>
      <c r="BF218" s="29"/>
      <c r="BG218" s="29"/>
      <c r="BH218" s="107"/>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107"/>
      <c r="CE218" s="29"/>
      <c r="CF218" s="29"/>
      <c r="CG218" s="29"/>
      <c r="CH218" s="29"/>
      <c r="CI218" s="29"/>
      <c r="CJ218" s="29"/>
      <c r="CK218" s="29"/>
      <c r="CL218" s="29"/>
      <c r="CM218" s="29"/>
      <c r="CN218" s="29"/>
      <c r="CO218" s="29"/>
      <c r="CP218" s="29"/>
      <c r="CQ218" s="29"/>
      <c r="CR218" s="29"/>
      <c r="CS218" s="29"/>
      <c r="CT218" s="29"/>
      <c r="CU218" s="29"/>
      <c r="CV218" s="29"/>
      <c r="CW218" s="107"/>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7"/>
    </row>
    <row r="219" spans="1:131">
      <c r="A219" s="7"/>
      <c r="B219" s="7" t="s">
        <v>77</v>
      </c>
      <c r="C219" s="115">
        <v>0</v>
      </c>
      <c r="D219" s="115">
        <v>0</v>
      </c>
      <c r="E219" s="115">
        <v>0</v>
      </c>
      <c r="F219" s="115">
        <v>0</v>
      </c>
      <c r="G219" s="115">
        <v>0</v>
      </c>
      <c r="H219" s="115">
        <v>0</v>
      </c>
      <c r="I219" s="115">
        <v>0</v>
      </c>
      <c r="J219" s="115">
        <v>0</v>
      </c>
      <c r="K219" s="115">
        <v>0</v>
      </c>
      <c r="L219" s="116">
        <v>0</v>
      </c>
      <c r="M219" s="115">
        <v>0</v>
      </c>
      <c r="N219" s="115">
        <v>0</v>
      </c>
      <c r="O219" s="115">
        <v>0</v>
      </c>
      <c r="P219" s="115">
        <v>0</v>
      </c>
      <c r="Q219" s="115">
        <v>0</v>
      </c>
      <c r="R219" s="115">
        <v>0</v>
      </c>
      <c r="S219" s="115">
        <v>0</v>
      </c>
      <c r="T219" s="115">
        <v>0</v>
      </c>
      <c r="U219" s="115">
        <v>0</v>
      </c>
      <c r="V219" s="115">
        <v>0</v>
      </c>
      <c r="W219" s="115">
        <v>0</v>
      </c>
      <c r="X219" s="115">
        <v>0</v>
      </c>
      <c r="Y219" s="115">
        <v>0</v>
      </c>
      <c r="Z219" s="115"/>
      <c r="AA219" s="115">
        <v>0</v>
      </c>
      <c r="AB219" s="115">
        <v>0</v>
      </c>
      <c r="AC219" s="115">
        <v>0</v>
      </c>
      <c r="AD219" s="115">
        <v>0</v>
      </c>
      <c r="AE219" s="115">
        <v>0</v>
      </c>
      <c r="AF219" s="115">
        <v>0</v>
      </c>
      <c r="AG219" s="115">
        <v>0</v>
      </c>
      <c r="AH219" s="115">
        <v>0</v>
      </c>
      <c r="AI219" s="115">
        <v>0</v>
      </c>
      <c r="AJ219" s="115">
        <v>0</v>
      </c>
      <c r="AK219" s="115">
        <v>0</v>
      </c>
      <c r="AL219" s="115">
        <v>0</v>
      </c>
      <c r="AM219" s="29"/>
      <c r="AN219" s="29"/>
      <c r="AO219" s="29"/>
      <c r="AP219" s="29"/>
      <c r="AQ219" s="29"/>
      <c r="AR219" s="29"/>
      <c r="AS219" s="107"/>
      <c r="AT219" s="29"/>
      <c r="AU219" s="29"/>
      <c r="AV219" s="29"/>
      <c r="AW219" s="29"/>
      <c r="AX219" s="29"/>
      <c r="AY219" s="29"/>
      <c r="AZ219" s="107"/>
      <c r="BA219" s="29"/>
      <c r="BB219" s="29"/>
      <c r="BC219" s="29"/>
      <c r="BD219" s="29"/>
      <c r="BE219" s="29"/>
      <c r="BF219" s="29"/>
      <c r="BG219" s="29"/>
      <c r="BH219" s="107"/>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107"/>
      <c r="CE219" s="29"/>
      <c r="CF219" s="29"/>
      <c r="CG219" s="29"/>
      <c r="CH219" s="29"/>
      <c r="CI219" s="29"/>
      <c r="CJ219" s="29"/>
      <c r="CK219" s="29"/>
      <c r="CL219" s="29"/>
      <c r="CM219" s="29"/>
      <c r="CN219" s="29"/>
      <c r="CO219" s="29"/>
      <c r="CP219" s="29"/>
      <c r="CQ219" s="29"/>
      <c r="CR219" s="29"/>
      <c r="CS219" s="29"/>
      <c r="CT219" s="29"/>
      <c r="CU219" s="29"/>
      <c r="CV219" s="29"/>
      <c r="CW219" s="107"/>
      <c r="CX219" s="7"/>
      <c r="CY219" s="7"/>
      <c r="CZ219" s="7"/>
      <c r="DA219" s="7"/>
      <c r="DB219" s="7"/>
      <c r="DC219" s="7"/>
      <c r="DD219" s="7"/>
      <c r="DE219" s="7"/>
      <c r="DF219" s="7"/>
      <c r="DG219" s="7"/>
      <c r="DH219" s="7"/>
      <c r="DI219" s="7"/>
      <c r="DJ219" s="7"/>
      <c r="DK219" s="7"/>
      <c r="DL219" s="7"/>
      <c r="DM219" s="7"/>
      <c r="DN219" s="7"/>
      <c r="DO219" s="7"/>
      <c r="DP219" s="7"/>
      <c r="DQ219" s="7"/>
      <c r="DR219" s="7"/>
      <c r="DS219" s="7"/>
      <c r="DT219" s="7"/>
      <c r="DU219" s="7"/>
      <c r="DV219" s="7"/>
      <c r="DW219" s="7"/>
      <c r="DX219" s="7"/>
      <c r="DY219" s="7"/>
      <c r="DZ219" s="7"/>
      <c r="EA219" s="7"/>
    </row>
    <row r="220" spans="1:131">
      <c r="A220" s="7"/>
      <c r="B220" s="7" t="s">
        <v>80</v>
      </c>
      <c r="C220" s="115">
        <v>0</v>
      </c>
      <c r="D220" s="115">
        <v>0</v>
      </c>
      <c r="E220" s="115">
        <v>0</v>
      </c>
      <c r="F220" s="115">
        <v>0</v>
      </c>
      <c r="G220" s="115">
        <v>0</v>
      </c>
      <c r="H220" s="115">
        <v>0</v>
      </c>
      <c r="I220" s="115">
        <v>0</v>
      </c>
      <c r="J220" s="115">
        <v>0</v>
      </c>
      <c r="K220" s="115">
        <v>0</v>
      </c>
      <c r="L220" s="116">
        <v>0</v>
      </c>
      <c r="M220" s="115">
        <v>0</v>
      </c>
      <c r="N220" s="115">
        <v>0</v>
      </c>
      <c r="O220" s="115">
        <v>0</v>
      </c>
      <c r="P220" s="115">
        <v>0</v>
      </c>
      <c r="Q220" s="115">
        <v>0</v>
      </c>
      <c r="R220" s="115">
        <v>0</v>
      </c>
      <c r="S220" s="115">
        <v>0</v>
      </c>
      <c r="T220" s="115">
        <v>0</v>
      </c>
      <c r="U220" s="115">
        <v>0</v>
      </c>
      <c r="V220" s="115">
        <v>0</v>
      </c>
      <c r="W220" s="115">
        <v>0</v>
      </c>
      <c r="X220" s="115">
        <v>0</v>
      </c>
      <c r="Y220" s="115">
        <v>0</v>
      </c>
      <c r="Z220" s="115"/>
      <c r="AA220" s="115">
        <v>0</v>
      </c>
      <c r="AB220" s="115">
        <v>0</v>
      </c>
      <c r="AC220" s="115">
        <v>0</v>
      </c>
      <c r="AD220" s="115">
        <v>0</v>
      </c>
      <c r="AE220" s="115">
        <v>0</v>
      </c>
      <c r="AF220" s="115">
        <v>0</v>
      </c>
      <c r="AG220" s="115">
        <v>0</v>
      </c>
      <c r="AH220" s="115">
        <v>0</v>
      </c>
      <c r="AI220" s="115">
        <v>0</v>
      </c>
      <c r="AJ220" s="115">
        <v>0</v>
      </c>
      <c r="AK220" s="115">
        <v>0</v>
      </c>
      <c r="AL220" s="115">
        <v>0</v>
      </c>
      <c r="AM220" s="29"/>
      <c r="AN220" s="29"/>
      <c r="AO220" s="29"/>
      <c r="AP220" s="29"/>
      <c r="AQ220" s="29"/>
      <c r="AR220" s="29"/>
      <c r="AS220" s="107"/>
      <c r="AT220" s="29"/>
      <c r="AU220" s="29"/>
      <c r="AV220" s="29"/>
      <c r="AW220" s="29"/>
      <c r="AX220" s="29"/>
      <c r="AY220" s="29"/>
      <c r="AZ220" s="107"/>
      <c r="BA220" s="29"/>
      <c r="BB220" s="29"/>
      <c r="BC220" s="29"/>
      <c r="BD220" s="29"/>
      <c r="BE220" s="29"/>
      <c r="BF220" s="29"/>
      <c r="BG220" s="29"/>
      <c r="BH220" s="107"/>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107"/>
      <c r="CE220" s="29"/>
      <c r="CF220" s="29"/>
      <c r="CG220" s="29"/>
      <c r="CH220" s="29"/>
      <c r="CI220" s="29"/>
      <c r="CJ220" s="29"/>
      <c r="CK220" s="29"/>
      <c r="CL220" s="29"/>
      <c r="CM220" s="29"/>
      <c r="CN220" s="29"/>
      <c r="CO220" s="29"/>
      <c r="CP220" s="29"/>
      <c r="CQ220" s="29"/>
      <c r="CR220" s="29"/>
      <c r="CS220" s="29"/>
      <c r="CT220" s="29"/>
      <c r="CU220" s="29"/>
      <c r="CV220" s="29"/>
      <c r="CW220" s="107"/>
      <c r="CX220" s="7"/>
      <c r="CY220" s="7"/>
      <c r="CZ220" s="7"/>
      <c r="DA220" s="7"/>
      <c r="DB220" s="7"/>
      <c r="DC220" s="7"/>
      <c r="DD220" s="7"/>
      <c r="DE220" s="7"/>
      <c r="DF220" s="7"/>
      <c r="DG220" s="7"/>
      <c r="DH220" s="7"/>
      <c r="DI220" s="7"/>
      <c r="DJ220" s="7"/>
      <c r="DK220" s="7"/>
      <c r="DL220" s="7"/>
      <c r="DM220" s="7"/>
      <c r="DN220" s="7"/>
      <c r="DO220" s="7"/>
      <c r="DP220" s="7"/>
      <c r="DQ220" s="7"/>
      <c r="DR220" s="7"/>
      <c r="DS220" s="7"/>
      <c r="DT220" s="7"/>
      <c r="DU220" s="7"/>
      <c r="DV220" s="7"/>
      <c r="DW220" s="7"/>
      <c r="DX220" s="7"/>
      <c r="DY220" s="7"/>
      <c r="DZ220" s="7"/>
      <c r="EA220" s="7"/>
    </row>
    <row r="221" spans="1:131">
      <c r="A221" s="7"/>
      <c r="B221" s="7" t="s">
        <v>83</v>
      </c>
      <c r="C221" s="115">
        <v>0</v>
      </c>
      <c r="D221" s="115">
        <v>0</v>
      </c>
      <c r="E221" s="115">
        <v>0</v>
      </c>
      <c r="F221" s="115">
        <v>0</v>
      </c>
      <c r="G221" s="115">
        <v>0</v>
      </c>
      <c r="H221" s="115">
        <v>0</v>
      </c>
      <c r="I221" s="115">
        <v>0</v>
      </c>
      <c r="J221" s="115">
        <v>0</v>
      </c>
      <c r="K221" s="115">
        <v>0</v>
      </c>
      <c r="L221" s="116">
        <v>0</v>
      </c>
      <c r="M221" s="115">
        <v>0</v>
      </c>
      <c r="N221" s="115">
        <v>0</v>
      </c>
      <c r="O221" s="115">
        <v>0</v>
      </c>
      <c r="P221" s="115">
        <v>0</v>
      </c>
      <c r="Q221" s="115">
        <v>0</v>
      </c>
      <c r="R221" s="115">
        <v>0</v>
      </c>
      <c r="S221" s="115">
        <v>0</v>
      </c>
      <c r="T221" s="115">
        <v>0</v>
      </c>
      <c r="U221" s="115">
        <v>0</v>
      </c>
      <c r="V221" s="115">
        <v>0</v>
      </c>
      <c r="W221" s="115">
        <v>0</v>
      </c>
      <c r="X221" s="115">
        <v>0</v>
      </c>
      <c r="Y221" s="115">
        <v>0</v>
      </c>
      <c r="Z221" s="115"/>
      <c r="AA221" s="115">
        <v>0</v>
      </c>
      <c r="AB221" s="115">
        <v>0</v>
      </c>
      <c r="AC221" s="115">
        <v>0</v>
      </c>
      <c r="AD221" s="115">
        <v>0</v>
      </c>
      <c r="AE221" s="115">
        <v>0</v>
      </c>
      <c r="AF221" s="115">
        <v>0</v>
      </c>
      <c r="AG221" s="115">
        <v>0</v>
      </c>
      <c r="AH221" s="115">
        <v>0</v>
      </c>
      <c r="AI221" s="115">
        <v>0</v>
      </c>
      <c r="AJ221" s="115">
        <v>0</v>
      </c>
      <c r="AK221" s="115">
        <v>0</v>
      </c>
      <c r="AL221" s="115">
        <v>0</v>
      </c>
      <c r="AM221" s="29"/>
      <c r="AN221" s="29"/>
      <c r="AO221" s="29"/>
      <c r="AP221" s="29"/>
      <c r="AQ221" s="29"/>
      <c r="AR221" s="29"/>
      <c r="AS221" s="107"/>
      <c r="AT221" s="29"/>
      <c r="AU221" s="29"/>
      <c r="AV221" s="29"/>
      <c r="AW221" s="29"/>
      <c r="AX221" s="29"/>
      <c r="AY221" s="29"/>
      <c r="AZ221" s="107"/>
      <c r="BA221" s="29"/>
      <c r="BB221" s="29"/>
      <c r="BC221" s="29"/>
      <c r="BD221" s="29"/>
      <c r="BE221" s="29"/>
      <c r="BF221" s="29"/>
      <c r="BG221" s="29"/>
      <c r="BH221" s="107"/>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107"/>
      <c r="CE221" s="29"/>
      <c r="CF221" s="29"/>
      <c r="CG221" s="29"/>
      <c r="CH221" s="29"/>
      <c r="CI221" s="29"/>
      <c r="CJ221" s="29"/>
      <c r="CK221" s="29"/>
      <c r="CL221" s="29"/>
      <c r="CM221" s="29"/>
      <c r="CN221" s="29"/>
      <c r="CO221" s="29"/>
      <c r="CP221" s="29"/>
      <c r="CQ221" s="29"/>
      <c r="CR221" s="29"/>
      <c r="CS221" s="29"/>
      <c r="CT221" s="29"/>
      <c r="CU221" s="29"/>
      <c r="CV221" s="29"/>
      <c r="CW221" s="107"/>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c r="DV221" s="7"/>
      <c r="DW221" s="7"/>
      <c r="DX221" s="7"/>
      <c r="DY221" s="7"/>
      <c r="DZ221" s="7"/>
      <c r="EA221" s="7"/>
    </row>
    <row r="222" spans="1:131">
      <c r="A222" s="7"/>
      <c r="B222" s="7" t="s">
        <v>86</v>
      </c>
      <c r="C222" s="115">
        <v>0</v>
      </c>
      <c r="D222" s="115">
        <v>0</v>
      </c>
      <c r="E222" s="115">
        <v>0</v>
      </c>
      <c r="F222" s="115">
        <v>0</v>
      </c>
      <c r="G222" s="115">
        <v>0</v>
      </c>
      <c r="H222" s="115">
        <v>0</v>
      </c>
      <c r="I222" s="115">
        <v>0</v>
      </c>
      <c r="J222" s="115">
        <v>0</v>
      </c>
      <c r="K222" s="115">
        <v>0</v>
      </c>
      <c r="L222" s="116">
        <v>0</v>
      </c>
      <c r="M222" s="115">
        <v>0</v>
      </c>
      <c r="N222" s="115">
        <v>0</v>
      </c>
      <c r="O222" s="115">
        <v>0</v>
      </c>
      <c r="P222" s="115">
        <v>0</v>
      </c>
      <c r="Q222" s="115">
        <v>0</v>
      </c>
      <c r="R222" s="115">
        <v>0</v>
      </c>
      <c r="S222" s="115">
        <v>0</v>
      </c>
      <c r="T222" s="115">
        <v>0</v>
      </c>
      <c r="U222" s="115">
        <v>0</v>
      </c>
      <c r="V222" s="115">
        <v>0</v>
      </c>
      <c r="W222" s="115">
        <v>0</v>
      </c>
      <c r="X222" s="115">
        <v>0</v>
      </c>
      <c r="Y222" s="115">
        <v>0</v>
      </c>
      <c r="Z222" s="115"/>
      <c r="AA222" s="115">
        <v>0</v>
      </c>
      <c r="AB222" s="115">
        <v>0</v>
      </c>
      <c r="AC222" s="115">
        <v>0</v>
      </c>
      <c r="AD222" s="115">
        <v>0</v>
      </c>
      <c r="AE222" s="115">
        <v>0</v>
      </c>
      <c r="AF222" s="115">
        <v>0</v>
      </c>
      <c r="AG222" s="115">
        <v>0</v>
      </c>
      <c r="AH222" s="115">
        <v>0</v>
      </c>
      <c r="AI222" s="115">
        <v>0</v>
      </c>
      <c r="AJ222" s="115">
        <v>0</v>
      </c>
      <c r="AK222" s="115">
        <v>0</v>
      </c>
      <c r="AL222" s="115">
        <v>0</v>
      </c>
      <c r="AM222" s="29"/>
      <c r="AN222" s="29"/>
      <c r="AO222" s="29"/>
      <c r="AP222" s="29"/>
      <c r="AQ222" s="29"/>
      <c r="AR222" s="29"/>
      <c r="AS222" s="107"/>
      <c r="AT222" s="29"/>
      <c r="AU222" s="29"/>
      <c r="AV222" s="29"/>
      <c r="AW222" s="29"/>
      <c r="AX222" s="29"/>
      <c r="AY222" s="29"/>
      <c r="AZ222" s="107"/>
      <c r="BA222" s="29"/>
      <c r="BB222" s="29"/>
      <c r="BC222" s="29"/>
      <c r="BD222" s="29"/>
      <c r="BE222" s="29"/>
      <c r="BF222" s="29"/>
      <c r="BG222" s="29"/>
      <c r="BH222" s="107"/>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107"/>
      <c r="CE222" s="29"/>
      <c r="CF222" s="29"/>
      <c r="CG222" s="29"/>
      <c r="CH222" s="29"/>
      <c r="CI222" s="29"/>
      <c r="CJ222" s="29"/>
      <c r="CK222" s="29"/>
      <c r="CL222" s="29"/>
      <c r="CM222" s="29"/>
      <c r="CN222" s="29"/>
      <c r="CO222" s="29"/>
      <c r="CP222" s="29"/>
      <c r="CQ222" s="29"/>
      <c r="CR222" s="29"/>
      <c r="CS222" s="29"/>
      <c r="CT222" s="29"/>
      <c r="CU222" s="29"/>
      <c r="CV222" s="29"/>
      <c r="CW222" s="10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row>
    <row r="223" spans="1:131">
      <c r="A223" s="7"/>
      <c r="B223" s="7" t="s">
        <v>89</v>
      </c>
      <c r="C223" s="115">
        <v>0</v>
      </c>
      <c r="D223" s="115">
        <v>0</v>
      </c>
      <c r="E223" s="115">
        <v>0</v>
      </c>
      <c r="F223" s="115">
        <v>0</v>
      </c>
      <c r="G223" s="115">
        <v>0</v>
      </c>
      <c r="H223" s="115">
        <v>0</v>
      </c>
      <c r="I223" s="115">
        <v>0</v>
      </c>
      <c r="J223" s="115">
        <v>0</v>
      </c>
      <c r="K223" s="115">
        <v>0</v>
      </c>
      <c r="L223" s="116">
        <v>0</v>
      </c>
      <c r="M223" s="115">
        <v>0</v>
      </c>
      <c r="N223" s="115">
        <v>0</v>
      </c>
      <c r="O223" s="115">
        <v>0</v>
      </c>
      <c r="P223" s="115">
        <v>0</v>
      </c>
      <c r="Q223" s="115">
        <v>0</v>
      </c>
      <c r="R223" s="115">
        <v>0</v>
      </c>
      <c r="S223" s="115">
        <v>0</v>
      </c>
      <c r="T223" s="115">
        <v>0</v>
      </c>
      <c r="U223" s="115">
        <v>0</v>
      </c>
      <c r="V223" s="115">
        <v>0</v>
      </c>
      <c r="W223" s="115">
        <v>0</v>
      </c>
      <c r="X223" s="115">
        <v>0</v>
      </c>
      <c r="Y223" s="115">
        <v>0</v>
      </c>
      <c r="Z223" s="115"/>
      <c r="AA223" s="115">
        <v>0</v>
      </c>
      <c r="AB223" s="115">
        <v>0</v>
      </c>
      <c r="AC223" s="115">
        <v>0</v>
      </c>
      <c r="AD223" s="115">
        <v>0</v>
      </c>
      <c r="AE223" s="115">
        <v>0</v>
      </c>
      <c r="AF223" s="115">
        <v>0</v>
      </c>
      <c r="AG223" s="115">
        <v>0</v>
      </c>
      <c r="AH223" s="115">
        <v>0</v>
      </c>
      <c r="AI223" s="115">
        <v>0</v>
      </c>
      <c r="AJ223" s="115">
        <v>0</v>
      </c>
      <c r="AK223" s="115">
        <v>0</v>
      </c>
      <c r="AL223" s="115">
        <v>0</v>
      </c>
      <c r="AM223" s="29"/>
      <c r="AN223" s="29"/>
      <c r="AO223" s="29"/>
      <c r="AP223" s="29"/>
      <c r="AQ223" s="29"/>
      <c r="AR223" s="29"/>
      <c r="AS223" s="107"/>
      <c r="AT223" s="29"/>
      <c r="AU223" s="29"/>
      <c r="AV223" s="29"/>
      <c r="AW223" s="29"/>
      <c r="AX223" s="29"/>
      <c r="AY223" s="29"/>
      <c r="AZ223" s="107"/>
      <c r="BA223" s="29"/>
      <c r="BB223" s="29"/>
      <c r="BC223" s="29"/>
      <c r="BD223" s="29"/>
      <c r="BE223" s="29"/>
      <c r="BF223" s="29"/>
      <c r="BG223" s="29"/>
      <c r="BH223" s="107"/>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107"/>
      <c r="CE223" s="29"/>
      <c r="CF223" s="29"/>
      <c r="CG223" s="29"/>
      <c r="CH223" s="29"/>
      <c r="CI223" s="29"/>
      <c r="CJ223" s="29"/>
      <c r="CK223" s="29"/>
      <c r="CL223" s="29"/>
      <c r="CM223" s="29"/>
      <c r="CN223" s="29"/>
      <c r="CO223" s="29"/>
      <c r="CP223" s="29"/>
      <c r="CQ223" s="29"/>
      <c r="CR223" s="29"/>
      <c r="CS223" s="29"/>
      <c r="CT223" s="29"/>
      <c r="CU223" s="29"/>
      <c r="CV223" s="29"/>
      <c r="CW223" s="107"/>
      <c r="CX223" s="7"/>
      <c r="CY223" s="7"/>
      <c r="CZ223" s="7"/>
      <c r="DA223" s="7"/>
      <c r="DB223" s="7"/>
      <c r="DC223" s="7"/>
      <c r="DD223" s="7"/>
      <c r="DE223" s="7"/>
      <c r="DF223" s="7"/>
      <c r="DG223" s="7"/>
      <c r="DH223" s="7"/>
      <c r="DI223" s="7"/>
      <c r="DJ223" s="7"/>
      <c r="DK223" s="7"/>
      <c r="DL223" s="7"/>
      <c r="DM223" s="7"/>
      <c r="DN223" s="7"/>
      <c r="DO223" s="7"/>
      <c r="DP223" s="7"/>
      <c r="DQ223" s="7"/>
      <c r="DR223" s="7"/>
      <c r="DS223" s="7"/>
      <c r="DT223" s="7"/>
      <c r="DU223" s="7"/>
      <c r="DV223" s="7"/>
      <c r="DW223" s="7"/>
      <c r="DX223" s="7"/>
      <c r="DY223" s="7"/>
      <c r="DZ223" s="7"/>
      <c r="EA223" s="7"/>
    </row>
    <row r="224" spans="1:131">
      <c r="A224" s="7"/>
      <c r="B224" s="7" t="s">
        <v>92</v>
      </c>
      <c r="C224" s="29">
        <v>8902.064225252132</v>
      </c>
      <c r="D224" s="29">
        <v>5072.1126659270112</v>
      </c>
      <c r="E224" s="29">
        <v>1014.4225331854025</v>
      </c>
      <c r="F224" s="29">
        <v>6086.5351991124135</v>
      </c>
      <c r="G224" s="29">
        <v>8034.4489155366891</v>
      </c>
      <c r="H224" s="29">
        <v>4573.3998173543432</v>
      </c>
      <c r="I224" s="29">
        <v>5989.4027941271816</v>
      </c>
      <c r="J224" s="29">
        <v>23.166881907592696</v>
      </c>
      <c r="K224" s="29">
        <v>66.380355444782452</v>
      </c>
      <c r="L224" s="107">
        <v>0.64012121261422594</v>
      </c>
      <c r="M224" s="29">
        <v>75.495059414389445</v>
      </c>
      <c r="N224" s="35">
        <v>452.64495499102253</v>
      </c>
      <c r="O224" s="35">
        <v>401.16754156509995</v>
      </c>
      <c r="P224" s="35">
        <v>490.56146288121101</v>
      </c>
      <c r="Q224" s="35">
        <v>508.42848412529025</v>
      </c>
      <c r="R224" s="35">
        <v>577.08852695525184</v>
      </c>
      <c r="S224" s="35">
        <v>648.38152356717148</v>
      </c>
      <c r="T224" s="35">
        <v>479.91476608132103</v>
      </c>
      <c r="U224" s="35">
        <v>517.35584227687878</v>
      </c>
      <c r="V224" s="35">
        <v>497.5443903186079</v>
      </c>
      <c r="W224" s="35">
        <v>564.50830693369346</v>
      </c>
      <c r="X224" s="35">
        <v>527.7359959414149</v>
      </c>
      <c r="Y224" s="35">
        <v>467.47767219851096</v>
      </c>
      <c r="Z224" s="35"/>
      <c r="AA224" s="35">
        <v>201.8188388222583</v>
      </c>
      <c r="AB224" s="35">
        <v>166.90187254768514</v>
      </c>
      <c r="AC224" s="35">
        <v>177.49130777457842</v>
      </c>
      <c r="AD224" s="35">
        <v>228.64833812924508</v>
      </c>
      <c r="AE224" s="35">
        <v>285.12978733248707</v>
      </c>
      <c r="AF224" s="35">
        <v>260.68168557449593</v>
      </c>
      <c r="AG224" s="35">
        <v>271.69925620752974</v>
      </c>
      <c r="AH224" s="35">
        <v>204.76309020841052</v>
      </c>
      <c r="AI224" s="35">
        <v>267.61591299871196</v>
      </c>
      <c r="AJ224" s="35">
        <v>226.41576272502112</v>
      </c>
      <c r="AK224" s="35">
        <v>276.97594747098248</v>
      </c>
      <c r="AL224" s="35">
        <v>201.11295762524892</v>
      </c>
      <c r="AM224" s="29"/>
      <c r="AN224" s="29"/>
      <c r="AO224" s="29"/>
      <c r="AP224" s="29"/>
      <c r="AQ224" s="29"/>
      <c r="AR224" s="29"/>
      <c r="AS224" s="107"/>
      <c r="AT224" s="29"/>
      <c r="AU224" s="29"/>
      <c r="AV224" s="29"/>
      <c r="AW224" s="29"/>
      <c r="AX224" s="29"/>
      <c r="AY224" s="29"/>
      <c r="AZ224" s="107"/>
      <c r="BA224" s="29"/>
      <c r="BB224" s="29"/>
      <c r="BC224" s="29"/>
      <c r="BD224" s="29"/>
      <c r="BE224" s="29"/>
      <c r="BF224" s="29"/>
      <c r="BG224" s="29"/>
      <c r="BH224" s="107"/>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107"/>
      <c r="CE224" s="29"/>
      <c r="CF224" s="29"/>
      <c r="CG224" s="29"/>
      <c r="CH224" s="29"/>
      <c r="CI224" s="29"/>
      <c r="CJ224" s="29"/>
      <c r="CK224" s="29"/>
      <c r="CL224" s="29"/>
      <c r="CM224" s="29"/>
      <c r="CN224" s="29"/>
      <c r="CO224" s="29"/>
      <c r="CP224" s="29"/>
      <c r="CQ224" s="29"/>
      <c r="CR224" s="29"/>
      <c r="CS224" s="29"/>
      <c r="CT224" s="29"/>
      <c r="CU224" s="29"/>
      <c r="CV224" s="29"/>
      <c r="CW224" s="107"/>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c r="DV224" s="7"/>
      <c r="DW224" s="7"/>
      <c r="DX224" s="7"/>
      <c r="DY224" s="7"/>
      <c r="DZ224" s="7"/>
      <c r="EA224" s="7"/>
    </row>
    <row r="225" spans="1:131">
      <c r="A225" s="7"/>
      <c r="B225" s="7" t="s">
        <v>95</v>
      </c>
      <c r="C225" s="29">
        <v>1009.2424439729974</v>
      </c>
      <c r="D225" s="29">
        <v>724.5875237038573</v>
      </c>
      <c r="E225" s="29">
        <v>144.91750474077148</v>
      </c>
      <c r="F225" s="29">
        <v>869.50502844462881</v>
      </c>
      <c r="G225" s="29">
        <v>1147.7784165052387</v>
      </c>
      <c r="H225" s="29">
        <v>691.67656401792806</v>
      </c>
      <c r="I225" s="29">
        <v>7547.1103050227439</v>
      </c>
      <c r="J225" s="29">
        <v>32.809552644871076</v>
      </c>
      <c r="K225" s="29">
        <v>71.047447426738415</v>
      </c>
      <c r="L225" s="107">
        <v>0.60262203407165316</v>
      </c>
      <c r="M225" s="29">
        <v>9.5879180496686303</v>
      </c>
      <c r="N225" s="35">
        <v>50.234325751920103</v>
      </c>
      <c r="O225" s="35">
        <v>44.409928196520703</v>
      </c>
      <c r="P225" s="35">
        <v>54.141618061593178</v>
      </c>
      <c r="Q225" s="35">
        <v>56.216388345206006</v>
      </c>
      <c r="R225" s="35">
        <v>64.338645698132723</v>
      </c>
      <c r="S225" s="35">
        <v>72.164140890073469</v>
      </c>
      <c r="T225" s="35">
        <v>60.608185692620822</v>
      </c>
      <c r="U225" s="35">
        <v>64.732616985313385</v>
      </c>
      <c r="V225" s="35">
        <v>57.791350895219111</v>
      </c>
      <c r="W225" s="35">
        <v>62.633926445036863</v>
      </c>
      <c r="X225" s="35">
        <v>58.196381121010731</v>
      </c>
      <c r="Y225" s="35">
        <v>51.974809966459198</v>
      </c>
      <c r="Z225" s="35"/>
      <c r="AA225" s="35">
        <v>22.532768711463049</v>
      </c>
      <c r="AB225" s="35">
        <v>18.599157647370813</v>
      </c>
      <c r="AC225" s="35">
        <v>19.68136827353521</v>
      </c>
      <c r="AD225" s="35">
        <v>25.299916141454915</v>
      </c>
      <c r="AE225" s="35">
        <v>31.602315175484375</v>
      </c>
      <c r="AF225" s="35">
        <v>28.807546416261605</v>
      </c>
      <c r="AG225" s="35">
        <v>32.31888483724957</v>
      </c>
      <c r="AH225" s="35">
        <v>24.171553122207147</v>
      </c>
      <c r="AI225" s="35">
        <v>30.540422906779348</v>
      </c>
      <c r="AJ225" s="35">
        <v>25.106241076682473</v>
      </c>
      <c r="AK225" s="35">
        <v>30.602947645900013</v>
      </c>
      <c r="AL225" s="35">
        <v>22.537003969502422</v>
      </c>
      <c r="AM225" s="29"/>
      <c r="AN225" s="29"/>
      <c r="AO225" s="29"/>
      <c r="AP225" s="29"/>
      <c r="AQ225" s="29"/>
      <c r="AR225" s="29"/>
      <c r="AS225" s="107"/>
      <c r="AT225" s="29"/>
      <c r="AU225" s="29"/>
      <c r="AV225" s="29"/>
      <c r="AW225" s="29"/>
      <c r="AX225" s="29"/>
      <c r="AY225" s="29"/>
      <c r="AZ225" s="107"/>
      <c r="BA225" s="29"/>
      <c r="BB225" s="29"/>
      <c r="BC225" s="29"/>
      <c r="BD225" s="29"/>
      <c r="BE225" s="29"/>
      <c r="BF225" s="29"/>
      <c r="BG225" s="29"/>
      <c r="BH225" s="107"/>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107"/>
      <c r="CE225" s="29"/>
      <c r="CF225" s="29"/>
      <c r="CG225" s="29"/>
      <c r="CH225" s="29"/>
      <c r="CI225" s="29"/>
      <c r="CJ225" s="29"/>
      <c r="CK225" s="29"/>
      <c r="CL225" s="29"/>
      <c r="CM225" s="29"/>
      <c r="CN225" s="29"/>
      <c r="CO225" s="29"/>
      <c r="CP225" s="29"/>
      <c r="CQ225" s="29"/>
      <c r="CR225" s="29"/>
      <c r="CS225" s="29"/>
      <c r="CT225" s="29"/>
      <c r="CU225" s="29"/>
      <c r="CV225" s="29"/>
      <c r="CW225" s="107"/>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c r="DV225" s="7"/>
      <c r="DW225" s="7"/>
      <c r="DX225" s="7"/>
      <c r="DY225" s="7"/>
      <c r="DZ225" s="7"/>
      <c r="EA225" s="7"/>
    </row>
    <row r="226" spans="1:131">
      <c r="A226" s="7"/>
      <c r="B226" s="7" t="s">
        <v>98</v>
      </c>
      <c r="C226" s="29">
        <v>3062.7641680765837</v>
      </c>
      <c r="D226" s="29">
        <v>2173.7625711115752</v>
      </c>
      <c r="E226" s="29">
        <v>434.75251422231509</v>
      </c>
      <c r="F226" s="29">
        <v>2608.5150853338901</v>
      </c>
      <c r="G226" s="29">
        <v>3443.3352495157224</v>
      </c>
      <c r="H226" s="29">
        <v>1523.6965581786831</v>
      </c>
      <c r="I226" s="29">
        <v>7460.7742854308799</v>
      </c>
      <c r="J226" s="29">
        <v>36.157779381166613</v>
      </c>
      <c r="K226" s="29">
        <v>83.683515014405884</v>
      </c>
      <c r="L226" s="107">
        <v>0.50178582538211591</v>
      </c>
      <c r="M226" s="29">
        <v>28.886215781755471</v>
      </c>
      <c r="N226" s="35">
        <v>96.261002143855649</v>
      </c>
      <c r="O226" s="35">
        <v>97.210608834569598</v>
      </c>
      <c r="P226" s="35">
        <v>146.95394547280586</v>
      </c>
      <c r="Q226" s="35">
        <v>164.87773945582495</v>
      </c>
      <c r="R226" s="35">
        <v>237.4372832173778</v>
      </c>
      <c r="S226" s="35">
        <v>285.85996752349865</v>
      </c>
      <c r="T226" s="35">
        <v>243.29985875698793</v>
      </c>
      <c r="U226" s="35">
        <v>260.15552682769953</v>
      </c>
      <c r="V226" s="35">
        <v>221.99243657668737</v>
      </c>
      <c r="W226" s="35">
        <v>213.74475344867881</v>
      </c>
      <c r="X226" s="35">
        <v>166.07638410217737</v>
      </c>
      <c r="Y226" s="35">
        <v>87.528352388403306</v>
      </c>
      <c r="Z226" s="35"/>
      <c r="AA226" s="35">
        <v>11.375174734452163</v>
      </c>
      <c r="AB226" s="35">
        <v>15.032548433298565</v>
      </c>
      <c r="AC226" s="35">
        <v>32.571445977429391</v>
      </c>
      <c r="AD226" s="35">
        <v>58.98565123905496</v>
      </c>
      <c r="AE226" s="35">
        <v>113.19780872153589</v>
      </c>
      <c r="AF226" s="35">
        <v>112.88282374986977</v>
      </c>
      <c r="AG226" s="35">
        <v>129.41081767249324</v>
      </c>
      <c r="AH226" s="35">
        <v>96.750909832856721</v>
      </c>
      <c r="AI226" s="35">
        <v>115.53182188764214</v>
      </c>
      <c r="AJ226" s="35">
        <v>78.58606820597619</v>
      </c>
      <c r="AK226" s="35">
        <v>74.00949792121105</v>
      </c>
      <c r="AL226" s="35">
        <v>3.0317409521954808</v>
      </c>
      <c r="AM226" s="29"/>
      <c r="AN226" s="29"/>
      <c r="AO226" s="29"/>
      <c r="AP226" s="29"/>
      <c r="AQ226" s="29"/>
      <c r="AR226" s="29"/>
      <c r="AS226" s="107"/>
      <c r="AT226" s="29"/>
      <c r="AU226" s="29"/>
      <c r="AV226" s="29"/>
      <c r="AW226" s="29"/>
      <c r="AX226" s="29"/>
      <c r="AY226" s="29"/>
      <c r="AZ226" s="107"/>
      <c r="BA226" s="29"/>
      <c r="BB226" s="29"/>
      <c r="BC226" s="29"/>
      <c r="BD226" s="29"/>
      <c r="BE226" s="29"/>
      <c r="BF226" s="29"/>
      <c r="BG226" s="29"/>
      <c r="BH226" s="107"/>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107"/>
      <c r="CE226" s="29"/>
      <c r="CF226" s="29"/>
      <c r="CG226" s="29"/>
      <c r="CH226" s="29"/>
      <c r="CI226" s="29"/>
      <c r="CJ226" s="29"/>
      <c r="CK226" s="29"/>
      <c r="CL226" s="29"/>
      <c r="CM226" s="29"/>
      <c r="CN226" s="29"/>
      <c r="CO226" s="29"/>
      <c r="CP226" s="29"/>
      <c r="CQ226" s="29"/>
      <c r="CR226" s="29"/>
      <c r="CS226" s="29"/>
      <c r="CT226" s="29"/>
      <c r="CU226" s="29"/>
      <c r="CV226" s="29"/>
      <c r="CW226" s="107"/>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c r="DV226" s="7"/>
      <c r="DW226" s="7"/>
      <c r="DX226" s="7"/>
      <c r="DY226" s="7"/>
      <c r="DZ226" s="7"/>
      <c r="EA226" s="7"/>
    </row>
    <row r="227" spans="1:131">
      <c r="A227" s="7"/>
      <c r="B227" s="7" t="s">
        <v>101</v>
      </c>
      <c r="C227" s="29">
        <v>985.78061802533921</v>
      </c>
      <c r="D227" s="29">
        <v>724.58752370386082</v>
      </c>
      <c r="E227" s="29">
        <v>144.91750474077216</v>
      </c>
      <c r="F227" s="29">
        <v>869.50502844463301</v>
      </c>
      <c r="G227" s="29">
        <v>1147.7784165052444</v>
      </c>
      <c r="H227" s="29">
        <v>437.9668020622575</v>
      </c>
      <c r="I227" s="29">
        <v>7726.7334231349187</v>
      </c>
      <c r="J227" s="29">
        <v>40.297585912115409</v>
      </c>
      <c r="K227" s="29">
        <v>90.414656755049762</v>
      </c>
      <c r="L227" s="107">
        <v>0.45176963271878157</v>
      </c>
      <c r="M227" s="29">
        <v>9.2837411998290538</v>
      </c>
      <c r="N227" s="35">
        <v>26.248341801449509</v>
      </c>
      <c r="O227" s="35">
        <v>29.576221050421928</v>
      </c>
      <c r="P227" s="35">
        <v>45.476679961062153</v>
      </c>
      <c r="Q227" s="35">
        <v>53.674979923464861</v>
      </c>
      <c r="R227" s="35">
        <v>77.442470156381376</v>
      </c>
      <c r="S227" s="35">
        <v>94.448322198690832</v>
      </c>
      <c r="T227" s="35">
        <v>80.824261469779458</v>
      </c>
      <c r="U227" s="35">
        <v>86.463728006887962</v>
      </c>
      <c r="V227" s="35">
        <v>72.765035708257329</v>
      </c>
      <c r="W227" s="35">
        <v>67.373310126020826</v>
      </c>
      <c r="X227" s="35">
        <v>51.64528769125814</v>
      </c>
      <c r="Y227" s="35">
        <v>21.764140901892993</v>
      </c>
      <c r="Z227" s="35"/>
      <c r="AA227" s="35">
        <v>4.0563714093979382</v>
      </c>
      <c r="AB227" s="35">
        <v>5.3474214159402713</v>
      </c>
      <c r="AC227" s="35">
        <v>11.229005594546122</v>
      </c>
      <c r="AD227" s="35">
        <v>20.945220644013961</v>
      </c>
      <c r="AE227" s="35">
        <v>37.336286753053059</v>
      </c>
      <c r="AF227" s="35">
        <v>37.43491872840292</v>
      </c>
      <c r="AG227" s="35">
        <v>43.082865834269555</v>
      </c>
      <c r="AH227" s="35">
        <v>32.249184087788024</v>
      </c>
      <c r="AI227" s="35">
        <v>38.229628795235804</v>
      </c>
      <c r="AJ227" s="35">
        <v>25.080140703318449</v>
      </c>
      <c r="AK227" s="35">
        <v>23.748325337627794</v>
      </c>
      <c r="AL227" s="35">
        <v>-0.6615302738223553</v>
      </c>
      <c r="AM227" s="29"/>
      <c r="AN227" s="29"/>
      <c r="AO227" s="29"/>
      <c r="AP227" s="29"/>
      <c r="AQ227" s="29"/>
      <c r="AR227" s="29"/>
      <c r="AS227" s="107"/>
      <c r="AT227" s="29"/>
      <c r="AU227" s="29"/>
      <c r="AV227" s="29"/>
      <c r="AW227" s="29"/>
      <c r="AX227" s="29"/>
      <c r="AY227" s="29"/>
      <c r="AZ227" s="107"/>
      <c r="BA227" s="29"/>
      <c r="BB227" s="29"/>
      <c r="BC227" s="29"/>
      <c r="BD227" s="29"/>
      <c r="BE227" s="29"/>
      <c r="BF227" s="29"/>
      <c r="BG227" s="29"/>
      <c r="BH227" s="107"/>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107"/>
      <c r="CE227" s="29"/>
      <c r="CF227" s="29"/>
      <c r="CG227" s="29"/>
      <c r="CH227" s="29"/>
      <c r="CI227" s="29"/>
      <c r="CJ227" s="29"/>
      <c r="CK227" s="29"/>
      <c r="CL227" s="29"/>
      <c r="CM227" s="29"/>
      <c r="CN227" s="29"/>
      <c r="CO227" s="29"/>
      <c r="CP227" s="29"/>
      <c r="CQ227" s="29"/>
      <c r="CR227" s="29"/>
      <c r="CS227" s="29"/>
      <c r="CT227" s="29"/>
      <c r="CU227" s="29"/>
      <c r="CV227" s="29"/>
      <c r="CW227" s="107"/>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c r="DV227" s="7"/>
      <c r="DW227" s="7"/>
      <c r="DX227" s="7"/>
      <c r="DY227" s="7"/>
      <c r="DZ227" s="7"/>
      <c r="EA227" s="7"/>
    </row>
    <row r="228" spans="1:131">
      <c r="A228" s="7"/>
      <c r="B228" s="7" t="s">
        <v>104</v>
      </c>
      <c r="C228" s="115">
        <v>0</v>
      </c>
      <c r="D228" s="115">
        <v>0</v>
      </c>
      <c r="E228" s="115">
        <v>0</v>
      </c>
      <c r="F228" s="115">
        <v>0</v>
      </c>
      <c r="G228" s="115">
        <v>0</v>
      </c>
      <c r="H228" s="115">
        <v>0</v>
      </c>
      <c r="I228" s="115">
        <v>0</v>
      </c>
      <c r="J228" s="115">
        <v>0</v>
      </c>
      <c r="K228" s="115">
        <v>0</v>
      </c>
      <c r="L228" s="116">
        <v>0</v>
      </c>
      <c r="M228" s="115">
        <v>0</v>
      </c>
      <c r="N228" s="115">
        <v>0</v>
      </c>
      <c r="O228" s="115">
        <v>0</v>
      </c>
      <c r="P228" s="115">
        <v>0</v>
      </c>
      <c r="Q228" s="115">
        <v>0</v>
      </c>
      <c r="R228" s="115">
        <v>0</v>
      </c>
      <c r="S228" s="115">
        <v>0</v>
      </c>
      <c r="T228" s="115">
        <v>0</v>
      </c>
      <c r="U228" s="115">
        <v>0</v>
      </c>
      <c r="V228" s="115">
        <v>0</v>
      </c>
      <c r="W228" s="115">
        <v>0</v>
      </c>
      <c r="X228" s="115">
        <v>0</v>
      </c>
      <c r="Y228" s="115">
        <v>0</v>
      </c>
      <c r="Z228" s="115"/>
      <c r="AA228" s="115">
        <v>0</v>
      </c>
      <c r="AB228" s="115">
        <v>0</v>
      </c>
      <c r="AC228" s="115">
        <v>0</v>
      </c>
      <c r="AD228" s="115">
        <v>0</v>
      </c>
      <c r="AE228" s="115">
        <v>0</v>
      </c>
      <c r="AF228" s="115">
        <v>0</v>
      </c>
      <c r="AG228" s="115">
        <v>0</v>
      </c>
      <c r="AH228" s="115">
        <v>0</v>
      </c>
      <c r="AI228" s="115">
        <v>0</v>
      </c>
      <c r="AJ228" s="115">
        <v>0</v>
      </c>
      <c r="AK228" s="115">
        <v>0</v>
      </c>
      <c r="AL228" s="115">
        <v>0</v>
      </c>
      <c r="AM228" s="29"/>
      <c r="AN228" s="29"/>
      <c r="AO228" s="29"/>
      <c r="AP228" s="29"/>
      <c r="AQ228" s="29"/>
      <c r="AR228" s="29"/>
      <c r="AS228" s="107"/>
      <c r="AT228" s="29"/>
      <c r="AU228" s="29"/>
      <c r="AV228" s="29"/>
      <c r="AW228" s="29"/>
      <c r="AX228" s="29"/>
      <c r="AY228" s="29"/>
      <c r="AZ228" s="107"/>
      <c r="BA228" s="29"/>
      <c r="BB228" s="29"/>
      <c r="BC228" s="29"/>
      <c r="BD228" s="29"/>
      <c r="BE228" s="29"/>
      <c r="BF228" s="29"/>
      <c r="BG228" s="29"/>
      <c r="BH228" s="107"/>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107"/>
      <c r="CE228" s="29"/>
      <c r="CF228" s="29"/>
      <c r="CG228" s="29"/>
      <c r="CH228" s="29"/>
      <c r="CI228" s="29"/>
      <c r="CJ228" s="29"/>
      <c r="CK228" s="29"/>
      <c r="CL228" s="29"/>
      <c r="CM228" s="29"/>
      <c r="CN228" s="29"/>
      <c r="CO228" s="29"/>
      <c r="CP228" s="29"/>
      <c r="CQ228" s="29"/>
      <c r="CR228" s="29"/>
      <c r="CS228" s="29"/>
      <c r="CT228" s="29"/>
      <c r="CU228" s="29"/>
      <c r="CV228" s="29"/>
      <c r="CW228" s="107"/>
      <c r="CX228" s="7"/>
      <c r="CY228" s="7"/>
      <c r="CZ228" s="7"/>
      <c r="DA228" s="7"/>
      <c r="DB228" s="7"/>
      <c r="DC228" s="7"/>
      <c r="DD228" s="7"/>
      <c r="DE228" s="7"/>
      <c r="DF228" s="7"/>
      <c r="DG228" s="7"/>
      <c r="DH228" s="7"/>
      <c r="DI228" s="7"/>
      <c r="DJ228" s="7"/>
      <c r="DK228" s="7"/>
      <c r="DL228" s="7"/>
      <c r="DM228" s="7"/>
      <c r="DN228" s="7"/>
      <c r="DO228" s="7"/>
      <c r="DP228" s="7"/>
      <c r="DQ228" s="7"/>
      <c r="DR228" s="7"/>
      <c r="DS228" s="7"/>
      <c r="DT228" s="7"/>
      <c r="DU228" s="7"/>
      <c r="DV228" s="7"/>
      <c r="DW228" s="7"/>
      <c r="DX228" s="7"/>
      <c r="DY228" s="7"/>
      <c r="DZ228" s="7"/>
      <c r="EA228" s="7"/>
    </row>
    <row r="229" spans="1:131">
      <c r="A229" s="7"/>
      <c r="B229" s="7" t="s">
        <v>107</v>
      </c>
      <c r="C229" s="115">
        <v>0</v>
      </c>
      <c r="D229" s="115">
        <v>0</v>
      </c>
      <c r="E229" s="115">
        <v>0</v>
      </c>
      <c r="F229" s="115">
        <v>0</v>
      </c>
      <c r="G229" s="115">
        <v>0</v>
      </c>
      <c r="H229" s="115">
        <v>0</v>
      </c>
      <c r="I229" s="115">
        <v>0</v>
      </c>
      <c r="J229" s="115">
        <v>0</v>
      </c>
      <c r="K229" s="115">
        <v>0</v>
      </c>
      <c r="L229" s="116">
        <v>0</v>
      </c>
      <c r="M229" s="115">
        <v>0</v>
      </c>
      <c r="N229" s="115">
        <v>0</v>
      </c>
      <c r="O229" s="115">
        <v>0</v>
      </c>
      <c r="P229" s="115">
        <v>0</v>
      </c>
      <c r="Q229" s="115">
        <v>0</v>
      </c>
      <c r="R229" s="115">
        <v>0</v>
      </c>
      <c r="S229" s="115">
        <v>0</v>
      </c>
      <c r="T229" s="115">
        <v>0</v>
      </c>
      <c r="U229" s="115">
        <v>0</v>
      </c>
      <c r="V229" s="115">
        <v>0</v>
      </c>
      <c r="W229" s="115">
        <v>0</v>
      </c>
      <c r="X229" s="115">
        <v>0</v>
      </c>
      <c r="Y229" s="115">
        <v>0</v>
      </c>
      <c r="Z229" s="115"/>
      <c r="AA229" s="115">
        <v>0</v>
      </c>
      <c r="AB229" s="115">
        <v>0</v>
      </c>
      <c r="AC229" s="115">
        <v>0</v>
      </c>
      <c r="AD229" s="115">
        <v>0</v>
      </c>
      <c r="AE229" s="115">
        <v>0</v>
      </c>
      <c r="AF229" s="115">
        <v>0</v>
      </c>
      <c r="AG229" s="115">
        <v>0</v>
      </c>
      <c r="AH229" s="115">
        <v>0</v>
      </c>
      <c r="AI229" s="115">
        <v>0</v>
      </c>
      <c r="AJ229" s="115">
        <v>0</v>
      </c>
      <c r="AK229" s="115">
        <v>0</v>
      </c>
      <c r="AL229" s="115">
        <v>0</v>
      </c>
      <c r="AM229" s="29"/>
      <c r="AN229" s="29"/>
      <c r="AO229" s="29"/>
      <c r="AP229" s="29"/>
      <c r="AQ229" s="29"/>
      <c r="AR229" s="29"/>
      <c r="AS229" s="107"/>
      <c r="AT229" s="29"/>
      <c r="AU229" s="29"/>
      <c r="AV229" s="29"/>
      <c r="AW229" s="29"/>
      <c r="AX229" s="29"/>
      <c r="AY229" s="29"/>
      <c r="AZ229" s="107"/>
      <c r="BA229" s="29"/>
      <c r="BB229" s="29"/>
      <c r="BC229" s="29"/>
      <c r="BD229" s="29"/>
      <c r="BE229" s="29"/>
      <c r="BF229" s="29"/>
      <c r="BG229" s="29"/>
      <c r="BH229" s="107"/>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107"/>
      <c r="CE229" s="29"/>
      <c r="CF229" s="29"/>
      <c r="CG229" s="29"/>
      <c r="CH229" s="29"/>
      <c r="CI229" s="29"/>
      <c r="CJ229" s="29"/>
      <c r="CK229" s="29"/>
      <c r="CL229" s="29"/>
      <c r="CM229" s="29"/>
      <c r="CN229" s="29"/>
      <c r="CO229" s="29"/>
      <c r="CP229" s="29"/>
      <c r="CQ229" s="29"/>
      <c r="CR229" s="29"/>
      <c r="CS229" s="29"/>
      <c r="CT229" s="29"/>
      <c r="CU229" s="29"/>
      <c r="CV229" s="29"/>
      <c r="CW229" s="10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row>
    <row r="230" spans="1:131">
      <c r="A230" s="7"/>
      <c r="B230" s="7" t="s">
        <v>110</v>
      </c>
      <c r="C230" s="115">
        <v>0</v>
      </c>
      <c r="D230" s="115">
        <v>0</v>
      </c>
      <c r="E230" s="115">
        <v>0</v>
      </c>
      <c r="F230" s="115">
        <v>0</v>
      </c>
      <c r="G230" s="115">
        <v>0</v>
      </c>
      <c r="H230" s="115">
        <v>0</v>
      </c>
      <c r="I230" s="115">
        <v>0</v>
      </c>
      <c r="J230" s="115">
        <v>0</v>
      </c>
      <c r="K230" s="115">
        <v>0</v>
      </c>
      <c r="L230" s="116">
        <v>0</v>
      </c>
      <c r="M230" s="115">
        <v>0</v>
      </c>
      <c r="N230" s="115">
        <v>0</v>
      </c>
      <c r="O230" s="115">
        <v>0</v>
      </c>
      <c r="P230" s="115">
        <v>0</v>
      </c>
      <c r="Q230" s="115">
        <v>0</v>
      </c>
      <c r="R230" s="115">
        <v>0</v>
      </c>
      <c r="S230" s="115">
        <v>0</v>
      </c>
      <c r="T230" s="115">
        <v>0</v>
      </c>
      <c r="U230" s="115">
        <v>0</v>
      </c>
      <c r="V230" s="115">
        <v>0</v>
      </c>
      <c r="W230" s="115">
        <v>0</v>
      </c>
      <c r="X230" s="115">
        <v>0</v>
      </c>
      <c r="Y230" s="115">
        <v>0</v>
      </c>
      <c r="Z230" s="115"/>
      <c r="AA230" s="115">
        <v>0</v>
      </c>
      <c r="AB230" s="115">
        <v>0</v>
      </c>
      <c r="AC230" s="115">
        <v>0</v>
      </c>
      <c r="AD230" s="115">
        <v>0</v>
      </c>
      <c r="AE230" s="115">
        <v>0</v>
      </c>
      <c r="AF230" s="115">
        <v>0</v>
      </c>
      <c r="AG230" s="115">
        <v>0</v>
      </c>
      <c r="AH230" s="115">
        <v>0</v>
      </c>
      <c r="AI230" s="115">
        <v>0</v>
      </c>
      <c r="AJ230" s="115">
        <v>0</v>
      </c>
      <c r="AK230" s="115">
        <v>0</v>
      </c>
      <c r="AL230" s="115">
        <v>0</v>
      </c>
      <c r="AM230" s="29"/>
      <c r="AN230" s="29"/>
      <c r="AO230" s="29"/>
      <c r="AP230" s="29"/>
      <c r="AQ230" s="29"/>
      <c r="AR230" s="29"/>
      <c r="AS230" s="107"/>
      <c r="AT230" s="29"/>
      <c r="AU230" s="29"/>
      <c r="AV230" s="29"/>
      <c r="AW230" s="29"/>
      <c r="AX230" s="29"/>
      <c r="AY230" s="29"/>
      <c r="AZ230" s="107"/>
      <c r="BA230" s="29"/>
      <c r="BB230" s="29"/>
      <c r="BC230" s="29"/>
      <c r="BD230" s="29"/>
      <c r="BE230" s="29"/>
      <c r="BF230" s="29"/>
      <c r="BG230" s="29"/>
      <c r="BH230" s="107"/>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107"/>
      <c r="CE230" s="29"/>
      <c r="CF230" s="29"/>
      <c r="CG230" s="29"/>
      <c r="CH230" s="29"/>
      <c r="CI230" s="29"/>
      <c r="CJ230" s="29"/>
      <c r="CK230" s="29"/>
      <c r="CL230" s="29"/>
      <c r="CM230" s="29"/>
      <c r="CN230" s="29"/>
      <c r="CO230" s="29"/>
      <c r="CP230" s="29"/>
      <c r="CQ230" s="29"/>
      <c r="CR230" s="29"/>
      <c r="CS230" s="29"/>
      <c r="CT230" s="29"/>
      <c r="CU230" s="29"/>
      <c r="CV230" s="29"/>
      <c r="CW230" s="10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row>
    <row r="231" spans="1:131">
      <c r="A231" s="7"/>
      <c r="B231" s="7" t="s">
        <v>113</v>
      </c>
      <c r="C231" s="115">
        <v>0</v>
      </c>
      <c r="D231" s="115">
        <v>0</v>
      </c>
      <c r="E231" s="115">
        <v>0</v>
      </c>
      <c r="F231" s="115">
        <v>0</v>
      </c>
      <c r="G231" s="115">
        <v>0</v>
      </c>
      <c r="H231" s="115">
        <v>0</v>
      </c>
      <c r="I231" s="115">
        <v>0</v>
      </c>
      <c r="J231" s="115">
        <v>0</v>
      </c>
      <c r="K231" s="115">
        <v>0</v>
      </c>
      <c r="L231" s="116">
        <v>0</v>
      </c>
      <c r="M231" s="115">
        <v>0</v>
      </c>
      <c r="N231" s="115">
        <v>0</v>
      </c>
      <c r="O231" s="115">
        <v>0</v>
      </c>
      <c r="P231" s="115">
        <v>0</v>
      </c>
      <c r="Q231" s="115">
        <v>0</v>
      </c>
      <c r="R231" s="115">
        <v>0</v>
      </c>
      <c r="S231" s="115">
        <v>0</v>
      </c>
      <c r="T231" s="115">
        <v>0</v>
      </c>
      <c r="U231" s="115">
        <v>0</v>
      </c>
      <c r="V231" s="115">
        <v>0</v>
      </c>
      <c r="W231" s="115">
        <v>0</v>
      </c>
      <c r="X231" s="115">
        <v>0</v>
      </c>
      <c r="Y231" s="115">
        <v>0</v>
      </c>
      <c r="Z231" s="115"/>
      <c r="AA231" s="115">
        <v>0</v>
      </c>
      <c r="AB231" s="115">
        <v>0</v>
      </c>
      <c r="AC231" s="115">
        <v>0</v>
      </c>
      <c r="AD231" s="115">
        <v>0</v>
      </c>
      <c r="AE231" s="115">
        <v>0</v>
      </c>
      <c r="AF231" s="115">
        <v>0</v>
      </c>
      <c r="AG231" s="115">
        <v>0</v>
      </c>
      <c r="AH231" s="115">
        <v>0</v>
      </c>
      <c r="AI231" s="115">
        <v>0</v>
      </c>
      <c r="AJ231" s="115">
        <v>0</v>
      </c>
      <c r="AK231" s="115">
        <v>0</v>
      </c>
      <c r="AL231" s="115">
        <v>0</v>
      </c>
      <c r="AM231" s="29"/>
      <c r="AN231" s="29"/>
      <c r="AO231" s="29"/>
      <c r="AP231" s="29"/>
      <c r="AQ231" s="29"/>
      <c r="AR231" s="29"/>
      <c r="AS231" s="107"/>
      <c r="AT231" s="29"/>
      <c r="AU231" s="29"/>
      <c r="AV231" s="29"/>
      <c r="AW231" s="29"/>
      <c r="AX231" s="29"/>
      <c r="AY231" s="29"/>
      <c r="AZ231" s="107"/>
      <c r="BA231" s="29"/>
      <c r="BB231" s="29"/>
      <c r="BC231" s="29"/>
      <c r="BD231" s="29"/>
      <c r="BE231" s="29"/>
      <c r="BF231" s="29"/>
      <c r="BG231" s="29"/>
      <c r="BH231" s="107"/>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107"/>
      <c r="CE231" s="29"/>
      <c r="CF231" s="29"/>
      <c r="CG231" s="29"/>
      <c r="CH231" s="29"/>
      <c r="CI231" s="29"/>
      <c r="CJ231" s="29"/>
      <c r="CK231" s="29"/>
      <c r="CL231" s="29"/>
      <c r="CM231" s="29"/>
      <c r="CN231" s="29"/>
      <c r="CO231" s="29"/>
      <c r="CP231" s="29"/>
      <c r="CQ231" s="29"/>
      <c r="CR231" s="29"/>
      <c r="CS231" s="29"/>
      <c r="CT231" s="29"/>
      <c r="CU231" s="29"/>
      <c r="CV231" s="29"/>
      <c r="CW231" s="107"/>
      <c r="CX231" s="7"/>
      <c r="CY231" s="7"/>
      <c r="CZ231" s="7"/>
      <c r="DA231" s="7"/>
      <c r="DB231" s="7"/>
      <c r="DC231" s="7"/>
      <c r="DD231" s="7"/>
      <c r="DE231" s="7"/>
      <c r="DF231" s="7"/>
      <c r="DG231" s="7"/>
      <c r="DH231" s="7"/>
      <c r="DI231" s="7"/>
      <c r="DJ231" s="7"/>
      <c r="DK231" s="7"/>
      <c r="DL231" s="7"/>
      <c r="DM231" s="7"/>
      <c r="DN231" s="7"/>
      <c r="DO231" s="7"/>
      <c r="DP231" s="7"/>
      <c r="DQ231" s="7"/>
      <c r="DR231" s="7"/>
      <c r="DS231" s="7"/>
      <c r="DT231" s="7"/>
      <c r="DU231" s="7"/>
      <c r="DV231" s="7"/>
      <c r="DW231" s="7"/>
      <c r="DX231" s="7"/>
      <c r="DY231" s="7"/>
      <c r="DZ231" s="7"/>
      <c r="EA231" s="7"/>
    </row>
    <row r="232" spans="1:131">
      <c r="A232" s="7"/>
      <c r="B232" s="7" t="s">
        <v>116</v>
      </c>
      <c r="C232" s="115">
        <v>0</v>
      </c>
      <c r="D232" s="115">
        <v>0</v>
      </c>
      <c r="E232" s="115">
        <v>0</v>
      </c>
      <c r="F232" s="115">
        <v>0</v>
      </c>
      <c r="G232" s="115">
        <v>0</v>
      </c>
      <c r="H232" s="115">
        <v>0</v>
      </c>
      <c r="I232" s="115">
        <v>0</v>
      </c>
      <c r="J232" s="115">
        <v>0</v>
      </c>
      <c r="K232" s="115">
        <v>0</v>
      </c>
      <c r="L232" s="116">
        <v>0</v>
      </c>
      <c r="M232" s="115">
        <v>0</v>
      </c>
      <c r="N232" s="115">
        <v>0</v>
      </c>
      <c r="O232" s="115">
        <v>0</v>
      </c>
      <c r="P232" s="115">
        <v>0</v>
      </c>
      <c r="Q232" s="115">
        <v>0</v>
      </c>
      <c r="R232" s="115">
        <v>0</v>
      </c>
      <c r="S232" s="115">
        <v>0</v>
      </c>
      <c r="T232" s="115">
        <v>0</v>
      </c>
      <c r="U232" s="115">
        <v>0</v>
      </c>
      <c r="V232" s="115">
        <v>0</v>
      </c>
      <c r="W232" s="115">
        <v>0</v>
      </c>
      <c r="X232" s="115">
        <v>0</v>
      </c>
      <c r="Y232" s="115">
        <v>0</v>
      </c>
      <c r="Z232" s="115"/>
      <c r="AA232" s="115">
        <v>0</v>
      </c>
      <c r="AB232" s="115">
        <v>0</v>
      </c>
      <c r="AC232" s="115">
        <v>0</v>
      </c>
      <c r="AD232" s="115">
        <v>0</v>
      </c>
      <c r="AE232" s="115">
        <v>0</v>
      </c>
      <c r="AF232" s="115">
        <v>0</v>
      </c>
      <c r="AG232" s="115">
        <v>0</v>
      </c>
      <c r="AH232" s="115">
        <v>0</v>
      </c>
      <c r="AI232" s="115">
        <v>0</v>
      </c>
      <c r="AJ232" s="115">
        <v>0</v>
      </c>
      <c r="AK232" s="115">
        <v>0</v>
      </c>
      <c r="AL232" s="115">
        <v>0</v>
      </c>
      <c r="AM232" s="29"/>
      <c r="AN232" s="29"/>
      <c r="AO232" s="29"/>
      <c r="AP232" s="29"/>
      <c r="AQ232" s="29"/>
      <c r="AR232" s="29"/>
      <c r="AS232" s="107"/>
      <c r="AT232" s="29"/>
      <c r="AU232" s="29"/>
      <c r="AV232" s="29"/>
      <c r="AW232" s="29"/>
      <c r="AX232" s="29"/>
      <c r="AY232" s="29"/>
      <c r="AZ232" s="107"/>
      <c r="BA232" s="29"/>
      <c r="BB232" s="29"/>
      <c r="BC232" s="29"/>
      <c r="BD232" s="29"/>
      <c r="BE232" s="29"/>
      <c r="BF232" s="29"/>
      <c r="BG232" s="29"/>
      <c r="BH232" s="107"/>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107"/>
      <c r="CE232" s="29"/>
      <c r="CF232" s="29"/>
      <c r="CG232" s="29"/>
      <c r="CH232" s="29"/>
      <c r="CI232" s="29"/>
      <c r="CJ232" s="29"/>
      <c r="CK232" s="29"/>
      <c r="CL232" s="29"/>
      <c r="CM232" s="29"/>
      <c r="CN232" s="29"/>
      <c r="CO232" s="29"/>
      <c r="CP232" s="29"/>
      <c r="CQ232" s="29"/>
      <c r="CR232" s="29"/>
      <c r="CS232" s="29"/>
      <c r="CT232" s="29"/>
      <c r="CU232" s="29"/>
      <c r="CV232" s="29"/>
      <c r="CW232" s="107"/>
      <c r="CX232" s="7"/>
      <c r="CY232" s="7"/>
      <c r="CZ232" s="7"/>
      <c r="DA232" s="7"/>
      <c r="DB232" s="7"/>
      <c r="DC232" s="7"/>
      <c r="DD232" s="7"/>
      <c r="DE232" s="7"/>
      <c r="DF232" s="7"/>
      <c r="DG232" s="7"/>
      <c r="DH232" s="7"/>
      <c r="DI232" s="7"/>
      <c r="DJ232" s="7"/>
      <c r="DK232" s="7"/>
      <c r="DL232" s="7"/>
      <c r="DM232" s="7"/>
      <c r="DN232" s="7"/>
      <c r="DO232" s="7"/>
      <c r="DP232" s="7"/>
      <c r="DQ232" s="7"/>
      <c r="DR232" s="7"/>
      <c r="DS232" s="7"/>
      <c r="DT232" s="7"/>
      <c r="DU232" s="7"/>
      <c r="DV232" s="7"/>
      <c r="DW232" s="7"/>
      <c r="DX232" s="7"/>
      <c r="DY232" s="7"/>
      <c r="DZ232" s="7"/>
      <c r="EA232" s="7"/>
    </row>
    <row r="233" spans="1:131">
      <c r="A233" s="7"/>
      <c r="B233" s="7" t="s">
        <v>119</v>
      </c>
      <c r="C233" s="115">
        <v>0</v>
      </c>
      <c r="D233" s="115">
        <v>0</v>
      </c>
      <c r="E233" s="115">
        <v>0</v>
      </c>
      <c r="F233" s="115">
        <v>0</v>
      </c>
      <c r="G233" s="115">
        <v>0</v>
      </c>
      <c r="H233" s="115">
        <v>0</v>
      </c>
      <c r="I233" s="115">
        <v>0</v>
      </c>
      <c r="J233" s="115">
        <v>0</v>
      </c>
      <c r="K233" s="115">
        <v>0</v>
      </c>
      <c r="L233" s="116">
        <v>0</v>
      </c>
      <c r="M233" s="115">
        <v>0</v>
      </c>
      <c r="N233" s="115">
        <v>0</v>
      </c>
      <c r="O233" s="115">
        <v>0</v>
      </c>
      <c r="P233" s="115">
        <v>0</v>
      </c>
      <c r="Q233" s="115">
        <v>0</v>
      </c>
      <c r="R233" s="115">
        <v>0</v>
      </c>
      <c r="S233" s="115">
        <v>0</v>
      </c>
      <c r="T233" s="115">
        <v>0</v>
      </c>
      <c r="U233" s="115">
        <v>0</v>
      </c>
      <c r="V233" s="115">
        <v>0</v>
      </c>
      <c r="W233" s="115">
        <v>0</v>
      </c>
      <c r="X233" s="115">
        <v>0</v>
      </c>
      <c r="Y233" s="115">
        <v>0</v>
      </c>
      <c r="Z233" s="115"/>
      <c r="AA233" s="115">
        <v>0</v>
      </c>
      <c r="AB233" s="115">
        <v>0</v>
      </c>
      <c r="AC233" s="115">
        <v>0</v>
      </c>
      <c r="AD233" s="115">
        <v>0</v>
      </c>
      <c r="AE233" s="115">
        <v>0</v>
      </c>
      <c r="AF233" s="115">
        <v>0</v>
      </c>
      <c r="AG233" s="115">
        <v>0</v>
      </c>
      <c r="AH233" s="115">
        <v>0</v>
      </c>
      <c r="AI233" s="115">
        <v>0</v>
      </c>
      <c r="AJ233" s="115">
        <v>0</v>
      </c>
      <c r="AK233" s="115">
        <v>0</v>
      </c>
      <c r="AL233" s="115">
        <v>0</v>
      </c>
      <c r="AM233" s="29"/>
      <c r="AN233" s="29"/>
      <c r="AO233" s="29"/>
      <c r="AP233" s="29"/>
      <c r="AQ233" s="29"/>
      <c r="AR233" s="29"/>
      <c r="AS233" s="107"/>
      <c r="AT233" s="29"/>
      <c r="AU233" s="29"/>
      <c r="AV233" s="29"/>
      <c r="AW233" s="29"/>
      <c r="AX233" s="29"/>
      <c r="AY233" s="29"/>
      <c r="AZ233" s="107"/>
      <c r="BA233" s="29"/>
      <c r="BB233" s="29"/>
      <c r="BC233" s="29"/>
      <c r="BD233" s="29"/>
      <c r="BE233" s="29"/>
      <c r="BF233" s="29"/>
      <c r="BG233" s="29"/>
      <c r="BH233" s="107"/>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107"/>
      <c r="CE233" s="29"/>
      <c r="CF233" s="29"/>
      <c r="CG233" s="29"/>
      <c r="CH233" s="29"/>
      <c r="CI233" s="29"/>
      <c r="CJ233" s="29"/>
      <c r="CK233" s="29"/>
      <c r="CL233" s="29"/>
      <c r="CM233" s="29"/>
      <c r="CN233" s="29"/>
      <c r="CO233" s="29"/>
      <c r="CP233" s="29"/>
      <c r="CQ233" s="29"/>
      <c r="CR233" s="29"/>
      <c r="CS233" s="29"/>
      <c r="CT233" s="29"/>
      <c r="CU233" s="29"/>
      <c r="CV233" s="29"/>
      <c r="CW233" s="107"/>
      <c r="CX233" s="7"/>
      <c r="CY233" s="7"/>
      <c r="CZ233" s="7"/>
      <c r="DA233" s="7"/>
      <c r="DB233" s="7"/>
      <c r="DC233" s="7"/>
      <c r="DD233" s="7"/>
      <c r="DE233" s="7"/>
      <c r="DF233" s="7"/>
      <c r="DG233" s="7"/>
      <c r="DH233" s="7"/>
      <c r="DI233" s="7"/>
      <c r="DJ233" s="7"/>
      <c r="DK233" s="7"/>
      <c r="DL233" s="7"/>
      <c r="DM233" s="7"/>
      <c r="DN233" s="7"/>
      <c r="DO233" s="7"/>
      <c r="DP233" s="7"/>
      <c r="DQ233" s="7"/>
      <c r="DR233" s="7"/>
      <c r="DS233" s="7"/>
      <c r="DT233" s="7"/>
      <c r="DU233" s="7"/>
      <c r="DV233" s="7"/>
      <c r="DW233" s="7"/>
      <c r="DX233" s="7"/>
      <c r="DY233" s="7"/>
      <c r="DZ233" s="7"/>
      <c r="EA233" s="7"/>
    </row>
    <row r="234" spans="1:131">
      <c r="A234" s="7"/>
      <c r="B234" s="7" t="s">
        <v>122</v>
      </c>
      <c r="C234" s="115">
        <v>0</v>
      </c>
      <c r="D234" s="115">
        <v>0</v>
      </c>
      <c r="E234" s="115">
        <v>0</v>
      </c>
      <c r="F234" s="115">
        <v>0</v>
      </c>
      <c r="G234" s="115">
        <v>0</v>
      </c>
      <c r="H234" s="115">
        <v>0</v>
      </c>
      <c r="I234" s="115">
        <v>0</v>
      </c>
      <c r="J234" s="115">
        <v>0</v>
      </c>
      <c r="K234" s="115">
        <v>0</v>
      </c>
      <c r="L234" s="116">
        <v>0</v>
      </c>
      <c r="M234" s="115">
        <v>0</v>
      </c>
      <c r="N234" s="115">
        <v>0</v>
      </c>
      <c r="O234" s="115">
        <v>0</v>
      </c>
      <c r="P234" s="115">
        <v>0</v>
      </c>
      <c r="Q234" s="115">
        <v>0</v>
      </c>
      <c r="R234" s="115">
        <v>0</v>
      </c>
      <c r="S234" s="115">
        <v>0</v>
      </c>
      <c r="T234" s="115">
        <v>0</v>
      </c>
      <c r="U234" s="115">
        <v>0</v>
      </c>
      <c r="V234" s="115">
        <v>0</v>
      </c>
      <c r="W234" s="115">
        <v>0</v>
      </c>
      <c r="X234" s="115">
        <v>0</v>
      </c>
      <c r="Y234" s="115">
        <v>0</v>
      </c>
      <c r="Z234" s="115"/>
      <c r="AA234" s="115">
        <v>0</v>
      </c>
      <c r="AB234" s="115">
        <v>0</v>
      </c>
      <c r="AC234" s="115">
        <v>0</v>
      </c>
      <c r="AD234" s="115">
        <v>0</v>
      </c>
      <c r="AE234" s="115">
        <v>0</v>
      </c>
      <c r="AF234" s="115">
        <v>0</v>
      </c>
      <c r="AG234" s="115">
        <v>0</v>
      </c>
      <c r="AH234" s="115">
        <v>0</v>
      </c>
      <c r="AI234" s="115">
        <v>0</v>
      </c>
      <c r="AJ234" s="115">
        <v>0</v>
      </c>
      <c r="AK234" s="115">
        <v>0</v>
      </c>
      <c r="AL234" s="115">
        <v>0</v>
      </c>
      <c r="AM234" s="29"/>
      <c r="AN234" s="29"/>
      <c r="AO234" s="29"/>
      <c r="AP234" s="29"/>
      <c r="AQ234" s="29"/>
      <c r="AR234" s="29"/>
      <c r="AS234" s="107"/>
      <c r="AT234" s="29"/>
      <c r="AU234" s="29"/>
      <c r="AV234" s="29"/>
      <c r="AW234" s="29"/>
      <c r="AX234" s="29"/>
      <c r="AY234" s="29"/>
      <c r="AZ234" s="107"/>
      <c r="BA234" s="29"/>
      <c r="BB234" s="29"/>
      <c r="BC234" s="29"/>
      <c r="BD234" s="29"/>
      <c r="BE234" s="29"/>
      <c r="BF234" s="29"/>
      <c r="BG234" s="29"/>
      <c r="BH234" s="107"/>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107"/>
      <c r="CE234" s="29"/>
      <c r="CF234" s="29"/>
      <c r="CG234" s="29"/>
      <c r="CH234" s="29"/>
      <c r="CI234" s="29"/>
      <c r="CJ234" s="29"/>
      <c r="CK234" s="29"/>
      <c r="CL234" s="29"/>
      <c r="CM234" s="29"/>
      <c r="CN234" s="29"/>
      <c r="CO234" s="29"/>
      <c r="CP234" s="29"/>
      <c r="CQ234" s="29"/>
      <c r="CR234" s="29"/>
      <c r="CS234" s="29"/>
      <c r="CT234" s="29"/>
      <c r="CU234" s="29"/>
      <c r="CV234" s="29"/>
      <c r="CW234" s="107"/>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row>
    <row r="235" spans="1:131">
      <c r="A235" s="7"/>
      <c r="B235" s="7" t="s">
        <v>125</v>
      </c>
      <c r="C235" s="115">
        <v>0</v>
      </c>
      <c r="D235" s="115">
        <v>0</v>
      </c>
      <c r="E235" s="115">
        <v>0</v>
      </c>
      <c r="F235" s="115">
        <v>0</v>
      </c>
      <c r="G235" s="115">
        <v>0</v>
      </c>
      <c r="H235" s="115">
        <v>0</v>
      </c>
      <c r="I235" s="115">
        <v>0</v>
      </c>
      <c r="J235" s="115">
        <v>0</v>
      </c>
      <c r="K235" s="115">
        <v>0</v>
      </c>
      <c r="L235" s="116">
        <v>0</v>
      </c>
      <c r="M235" s="115">
        <v>0</v>
      </c>
      <c r="N235" s="115">
        <v>0</v>
      </c>
      <c r="O235" s="115">
        <v>0</v>
      </c>
      <c r="P235" s="115">
        <v>0</v>
      </c>
      <c r="Q235" s="115">
        <v>0</v>
      </c>
      <c r="R235" s="115">
        <v>0</v>
      </c>
      <c r="S235" s="115">
        <v>0</v>
      </c>
      <c r="T235" s="115">
        <v>0</v>
      </c>
      <c r="U235" s="115">
        <v>0</v>
      </c>
      <c r="V235" s="115">
        <v>0</v>
      </c>
      <c r="W235" s="115">
        <v>0</v>
      </c>
      <c r="X235" s="115">
        <v>0</v>
      </c>
      <c r="Y235" s="115">
        <v>0</v>
      </c>
      <c r="Z235" s="115"/>
      <c r="AA235" s="115">
        <v>0</v>
      </c>
      <c r="AB235" s="115">
        <v>0</v>
      </c>
      <c r="AC235" s="115">
        <v>0</v>
      </c>
      <c r="AD235" s="115">
        <v>0</v>
      </c>
      <c r="AE235" s="115">
        <v>0</v>
      </c>
      <c r="AF235" s="115">
        <v>0</v>
      </c>
      <c r="AG235" s="115">
        <v>0</v>
      </c>
      <c r="AH235" s="115">
        <v>0</v>
      </c>
      <c r="AI235" s="115">
        <v>0</v>
      </c>
      <c r="AJ235" s="115">
        <v>0</v>
      </c>
      <c r="AK235" s="115">
        <v>0</v>
      </c>
      <c r="AL235" s="115">
        <v>0</v>
      </c>
      <c r="AM235" s="29"/>
      <c r="AN235" s="29"/>
      <c r="AO235" s="29"/>
      <c r="AP235" s="29"/>
      <c r="AQ235" s="29"/>
      <c r="AR235" s="29"/>
      <c r="AS235" s="107"/>
      <c r="AT235" s="29"/>
      <c r="AU235" s="29"/>
      <c r="AV235" s="29"/>
      <c r="AW235" s="29"/>
      <c r="AX235" s="29"/>
      <c r="AY235" s="29"/>
      <c r="AZ235" s="107"/>
      <c r="BA235" s="29"/>
      <c r="BB235" s="29"/>
      <c r="BC235" s="29"/>
      <c r="BD235" s="29"/>
      <c r="BE235" s="29"/>
      <c r="BF235" s="29"/>
      <c r="BG235" s="29"/>
      <c r="BH235" s="107"/>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107"/>
      <c r="CE235" s="29"/>
      <c r="CF235" s="29"/>
      <c r="CG235" s="29"/>
      <c r="CH235" s="29"/>
      <c r="CI235" s="29"/>
      <c r="CJ235" s="29"/>
      <c r="CK235" s="29"/>
      <c r="CL235" s="29"/>
      <c r="CM235" s="29"/>
      <c r="CN235" s="29"/>
      <c r="CO235" s="29"/>
      <c r="CP235" s="29"/>
      <c r="CQ235" s="29"/>
      <c r="CR235" s="29"/>
      <c r="CS235" s="29"/>
      <c r="CT235" s="29"/>
      <c r="CU235" s="29"/>
      <c r="CV235" s="29"/>
      <c r="CW235" s="107"/>
      <c r="CX235" s="7"/>
      <c r="CY235" s="7"/>
      <c r="CZ235" s="7"/>
      <c r="DA235" s="7"/>
      <c r="DB235" s="7"/>
      <c r="DC235" s="7"/>
      <c r="DD235" s="7"/>
      <c r="DE235" s="7"/>
      <c r="DF235" s="7"/>
      <c r="DG235" s="7"/>
      <c r="DH235" s="7"/>
      <c r="DI235" s="7"/>
      <c r="DJ235" s="7"/>
      <c r="DK235" s="7"/>
      <c r="DL235" s="7"/>
      <c r="DM235" s="7"/>
      <c r="DN235" s="7"/>
      <c r="DO235" s="7"/>
      <c r="DP235" s="7"/>
      <c r="DQ235" s="7"/>
      <c r="DR235" s="7"/>
      <c r="DS235" s="7"/>
      <c r="DT235" s="7"/>
      <c r="DU235" s="7"/>
      <c r="DV235" s="7"/>
      <c r="DW235" s="7"/>
      <c r="DX235" s="7"/>
      <c r="DY235" s="7"/>
      <c r="DZ235" s="7"/>
      <c r="EA235" s="7"/>
    </row>
    <row r="236" spans="1:131">
      <c r="A236" s="7"/>
      <c r="B236" s="7" t="s">
        <v>128</v>
      </c>
      <c r="C236" s="115">
        <v>0</v>
      </c>
      <c r="D236" s="115">
        <v>0</v>
      </c>
      <c r="E236" s="115">
        <v>0</v>
      </c>
      <c r="F236" s="115">
        <v>0</v>
      </c>
      <c r="G236" s="115">
        <v>0</v>
      </c>
      <c r="H236" s="115">
        <v>0</v>
      </c>
      <c r="I236" s="115">
        <v>0</v>
      </c>
      <c r="J236" s="115">
        <v>0</v>
      </c>
      <c r="K236" s="115">
        <v>0</v>
      </c>
      <c r="L236" s="116">
        <v>0</v>
      </c>
      <c r="M236" s="115">
        <v>0</v>
      </c>
      <c r="N236" s="115">
        <v>0</v>
      </c>
      <c r="O236" s="115">
        <v>0</v>
      </c>
      <c r="P236" s="115">
        <v>0</v>
      </c>
      <c r="Q236" s="115">
        <v>0</v>
      </c>
      <c r="R236" s="115">
        <v>0</v>
      </c>
      <c r="S236" s="115">
        <v>0</v>
      </c>
      <c r="T236" s="115">
        <v>0</v>
      </c>
      <c r="U236" s="115">
        <v>0</v>
      </c>
      <c r="V236" s="115">
        <v>0</v>
      </c>
      <c r="W236" s="115">
        <v>0</v>
      </c>
      <c r="X236" s="115">
        <v>0</v>
      </c>
      <c r="Y236" s="115">
        <v>0</v>
      </c>
      <c r="Z236" s="115"/>
      <c r="AA236" s="115">
        <v>0</v>
      </c>
      <c r="AB236" s="115">
        <v>0</v>
      </c>
      <c r="AC236" s="115">
        <v>0</v>
      </c>
      <c r="AD236" s="115">
        <v>0</v>
      </c>
      <c r="AE236" s="115">
        <v>0</v>
      </c>
      <c r="AF236" s="115">
        <v>0</v>
      </c>
      <c r="AG236" s="115">
        <v>0</v>
      </c>
      <c r="AH236" s="115">
        <v>0</v>
      </c>
      <c r="AI236" s="115">
        <v>0</v>
      </c>
      <c r="AJ236" s="115">
        <v>0</v>
      </c>
      <c r="AK236" s="115">
        <v>0</v>
      </c>
      <c r="AL236" s="115">
        <v>0</v>
      </c>
      <c r="AM236" s="29"/>
      <c r="AN236" s="29"/>
      <c r="AO236" s="29"/>
      <c r="AP236" s="29"/>
      <c r="AQ236" s="29"/>
      <c r="AR236" s="29"/>
      <c r="AS236" s="107"/>
      <c r="AT236" s="29"/>
      <c r="AU236" s="29"/>
      <c r="AV236" s="29"/>
      <c r="AW236" s="29"/>
      <c r="AX236" s="29"/>
      <c r="AY236" s="29"/>
      <c r="AZ236" s="107"/>
      <c r="BA236" s="29"/>
      <c r="BB236" s="29"/>
      <c r="BC236" s="29"/>
      <c r="BD236" s="29"/>
      <c r="BE236" s="29"/>
      <c r="BF236" s="29"/>
      <c r="BG236" s="29"/>
      <c r="BH236" s="107"/>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107"/>
      <c r="CE236" s="29"/>
      <c r="CF236" s="29"/>
      <c r="CG236" s="29"/>
      <c r="CH236" s="29"/>
      <c r="CI236" s="29"/>
      <c r="CJ236" s="29"/>
      <c r="CK236" s="29"/>
      <c r="CL236" s="29"/>
      <c r="CM236" s="29"/>
      <c r="CN236" s="29"/>
      <c r="CO236" s="29"/>
      <c r="CP236" s="29"/>
      <c r="CQ236" s="29"/>
      <c r="CR236" s="29"/>
      <c r="CS236" s="29"/>
      <c r="CT236" s="29"/>
      <c r="CU236" s="29"/>
      <c r="CV236" s="29"/>
      <c r="CW236" s="107"/>
      <c r="CX236" s="7"/>
      <c r="CY236" s="7"/>
      <c r="CZ236" s="7"/>
      <c r="DA236" s="7"/>
      <c r="DB236" s="7"/>
      <c r="DC236" s="7"/>
      <c r="DD236" s="7"/>
      <c r="DE236" s="7"/>
      <c r="DF236" s="7"/>
      <c r="DG236" s="7"/>
      <c r="DH236" s="7"/>
      <c r="DI236" s="7"/>
      <c r="DJ236" s="7"/>
      <c r="DK236" s="7"/>
      <c r="DL236" s="7"/>
      <c r="DM236" s="7"/>
      <c r="DN236" s="7"/>
      <c r="DO236" s="7"/>
      <c r="DP236" s="7"/>
      <c r="DQ236" s="7"/>
      <c r="DR236" s="7"/>
      <c r="DS236" s="7"/>
      <c r="DT236" s="7"/>
      <c r="DU236" s="7"/>
      <c r="DV236" s="7"/>
      <c r="DW236" s="7"/>
      <c r="DX236" s="7"/>
      <c r="DY236" s="7"/>
      <c r="DZ236" s="7"/>
      <c r="EA236" s="7"/>
    </row>
    <row r="237" spans="1:131">
      <c r="A237" s="7"/>
      <c r="B237" s="7" t="s">
        <v>131</v>
      </c>
      <c r="C237" s="115">
        <v>0</v>
      </c>
      <c r="D237" s="115">
        <v>0</v>
      </c>
      <c r="E237" s="115">
        <v>0</v>
      </c>
      <c r="F237" s="115">
        <v>0</v>
      </c>
      <c r="G237" s="115">
        <v>0</v>
      </c>
      <c r="H237" s="115">
        <v>0</v>
      </c>
      <c r="I237" s="115">
        <v>0</v>
      </c>
      <c r="J237" s="115">
        <v>0</v>
      </c>
      <c r="K237" s="115">
        <v>0</v>
      </c>
      <c r="L237" s="116">
        <v>0</v>
      </c>
      <c r="M237" s="115">
        <v>0</v>
      </c>
      <c r="N237" s="115">
        <v>0</v>
      </c>
      <c r="O237" s="115">
        <v>0</v>
      </c>
      <c r="P237" s="115">
        <v>0</v>
      </c>
      <c r="Q237" s="115">
        <v>0</v>
      </c>
      <c r="R237" s="115">
        <v>0</v>
      </c>
      <c r="S237" s="115">
        <v>0</v>
      </c>
      <c r="T237" s="115">
        <v>0</v>
      </c>
      <c r="U237" s="115">
        <v>0</v>
      </c>
      <c r="V237" s="115">
        <v>0</v>
      </c>
      <c r="W237" s="115">
        <v>0</v>
      </c>
      <c r="X237" s="115">
        <v>0</v>
      </c>
      <c r="Y237" s="115">
        <v>0</v>
      </c>
      <c r="Z237" s="115"/>
      <c r="AA237" s="115">
        <v>0</v>
      </c>
      <c r="AB237" s="115">
        <v>0</v>
      </c>
      <c r="AC237" s="115">
        <v>0</v>
      </c>
      <c r="AD237" s="115">
        <v>0</v>
      </c>
      <c r="AE237" s="115">
        <v>0</v>
      </c>
      <c r="AF237" s="115">
        <v>0</v>
      </c>
      <c r="AG237" s="115">
        <v>0</v>
      </c>
      <c r="AH237" s="115">
        <v>0</v>
      </c>
      <c r="AI237" s="115">
        <v>0</v>
      </c>
      <c r="AJ237" s="115">
        <v>0</v>
      </c>
      <c r="AK237" s="115">
        <v>0</v>
      </c>
      <c r="AL237" s="115">
        <v>0</v>
      </c>
      <c r="AM237" s="29"/>
      <c r="AN237" s="29"/>
      <c r="AO237" s="29"/>
      <c r="AP237" s="29"/>
      <c r="AQ237" s="29"/>
      <c r="AR237" s="29"/>
      <c r="AS237" s="107"/>
      <c r="AT237" s="29"/>
      <c r="AU237" s="29"/>
      <c r="AV237" s="29"/>
      <c r="AW237" s="29"/>
      <c r="AX237" s="29"/>
      <c r="AY237" s="29"/>
      <c r="AZ237" s="107"/>
      <c r="BA237" s="29"/>
      <c r="BB237" s="29"/>
      <c r="BC237" s="29"/>
      <c r="BD237" s="29"/>
      <c r="BE237" s="29"/>
      <c r="BF237" s="29"/>
      <c r="BG237" s="29"/>
      <c r="BH237" s="107"/>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107"/>
      <c r="CE237" s="29"/>
      <c r="CF237" s="29"/>
      <c r="CG237" s="29"/>
      <c r="CH237" s="29"/>
      <c r="CI237" s="29"/>
      <c r="CJ237" s="29"/>
      <c r="CK237" s="29"/>
      <c r="CL237" s="29"/>
      <c r="CM237" s="29"/>
      <c r="CN237" s="29"/>
      <c r="CO237" s="29"/>
      <c r="CP237" s="29"/>
      <c r="CQ237" s="29"/>
      <c r="CR237" s="29"/>
      <c r="CS237" s="29"/>
      <c r="CT237" s="29"/>
      <c r="CU237" s="29"/>
      <c r="CV237" s="29"/>
      <c r="CW237" s="107"/>
      <c r="CX237" s="7"/>
      <c r="CY237" s="7"/>
      <c r="CZ237" s="7"/>
      <c r="DA237" s="7"/>
      <c r="DB237" s="7"/>
      <c r="DC237" s="7"/>
      <c r="DD237" s="7"/>
      <c r="DE237" s="7"/>
      <c r="DF237" s="7"/>
      <c r="DG237" s="7"/>
      <c r="DH237" s="7"/>
      <c r="DI237" s="7"/>
      <c r="DJ237" s="7"/>
      <c r="DK237" s="7"/>
      <c r="DL237" s="7"/>
      <c r="DM237" s="7"/>
      <c r="DN237" s="7"/>
      <c r="DO237" s="7"/>
      <c r="DP237" s="7"/>
      <c r="DQ237" s="7"/>
      <c r="DR237" s="7"/>
      <c r="DS237" s="7"/>
      <c r="DT237" s="7"/>
      <c r="DU237" s="7"/>
      <c r="DV237" s="7"/>
      <c r="DW237" s="7"/>
      <c r="DX237" s="7"/>
      <c r="DY237" s="7"/>
      <c r="DZ237" s="7"/>
      <c r="EA237" s="7"/>
    </row>
    <row r="238" spans="1:131">
      <c r="A238" s="7"/>
      <c r="B238" s="7" t="s">
        <v>134</v>
      </c>
      <c r="C238" s="29">
        <v>1083.506365542959</v>
      </c>
      <c r="D238" s="29">
        <v>14202.006458319951</v>
      </c>
      <c r="E238" s="29">
        <v>2840.4012916639913</v>
      </c>
      <c r="F238" s="29">
        <v>17042.40774998394</v>
      </c>
      <c r="G238" s="29">
        <v>22496.601101552849</v>
      </c>
      <c r="H238" s="29">
        <v>338.62050846853128</v>
      </c>
      <c r="I238" s="29">
        <v>137785.52359039205</v>
      </c>
      <c r="J238" s="29">
        <v>818.93844000519573</v>
      </c>
      <c r="K238" s="29">
        <v>1542.332625213073</v>
      </c>
      <c r="L238" s="107">
        <v>6.0647977799347094E-2</v>
      </c>
      <c r="M238" s="29">
        <v>8.6531756900400616</v>
      </c>
      <c r="N238" s="35">
        <v>44.543989310839343</v>
      </c>
      <c r="O238" s="35">
        <v>42.772551198919224</v>
      </c>
      <c r="P238" s="35">
        <v>58.989760211967273</v>
      </c>
      <c r="Q238" s="35">
        <v>63.952528496534555</v>
      </c>
      <c r="R238" s="35">
        <v>82.116733775018886</v>
      </c>
      <c r="S238" s="35">
        <v>96.997933981306318</v>
      </c>
      <c r="T238" s="35">
        <v>57.713867161773464</v>
      </c>
      <c r="U238" s="35">
        <v>63.527608021066129</v>
      </c>
      <c r="V238" s="35">
        <v>67.832423427677355</v>
      </c>
      <c r="W238" s="35">
        <v>76.803870759874798</v>
      </c>
      <c r="X238" s="35">
        <v>65.376032641107443</v>
      </c>
      <c r="Y238" s="35">
        <v>42.899843663084098</v>
      </c>
      <c r="Z238" s="35"/>
      <c r="AA238" s="35">
        <v>12.898128438780146</v>
      </c>
      <c r="AB238" s="35">
        <v>12.030901863002949</v>
      </c>
      <c r="AC238" s="35">
        <v>16.75158203397595</v>
      </c>
      <c r="AD238" s="35">
        <v>25.619091060073995</v>
      </c>
      <c r="AE238" s="35">
        <v>40.273601719307806</v>
      </c>
      <c r="AF238" s="35">
        <v>39.171484414176419</v>
      </c>
      <c r="AG238" s="35">
        <v>36.706462285937683</v>
      </c>
      <c r="AH238" s="35">
        <v>28.041354259983546</v>
      </c>
      <c r="AI238" s="35">
        <v>37.282482990405022</v>
      </c>
      <c r="AJ238" s="35">
        <v>29.332759154325888</v>
      </c>
      <c r="AK238" s="35">
        <v>31.375693842233812</v>
      </c>
      <c r="AL238" s="35">
        <v>10.495680831586439</v>
      </c>
      <c r="AM238" s="29"/>
      <c r="AN238" s="29"/>
      <c r="AO238" s="29"/>
      <c r="AP238" s="29"/>
      <c r="AQ238" s="29"/>
      <c r="AR238" s="29"/>
      <c r="AS238" s="107"/>
      <c r="AT238" s="29"/>
      <c r="AU238" s="29"/>
      <c r="AV238" s="29"/>
      <c r="AW238" s="29"/>
      <c r="AX238" s="29"/>
      <c r="AY238" s="29"/>
      <c r="AZ238" s="107"/>
      <c r="BA238" s="29"/>
      <c r="BB238" s="29"/>
      <c r="BC238" s="29"/>
      <c r="BD238" s="29"/>
      <c r="BE238" s="29"/>
      <c r="BF238" s="29"/>
      <c r="BG238" s="29"/>
      <c r="BH238" s="107"/>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107"/>
      <c r="CE238" s="29"/>
      <c r="CF238" s="29"/>
      <c r="CG238" s="29"/>
      <c r="CH238" s="29"/>
      <c r="CI238" s="29"/>
      <c r="CJ238" s="29"/>
      <c r="CK238" s="29"/>
      <c r="CL238" s="29"/>
      <c r="CM238" s="29"/>
      <c r="CN238" s="29"/>
      <c r="CO238" s="29"/>
      <c r="CP238" s="29"/>
      <c r="CQ238" s="29"/>
      <c r="CR238" s="29"/>
      <c r="CS238" s="29"/>
      <c r="CT238" s="29"/>
      <c r="CU238" s="29"/>
      <c r="CV238" s="29"/>
      <c r="CW238" s="10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row>
    <row r="239" spans="1:131">
      <c r="A239" s="7"/>
      <c r="B239" s="7"/>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107"/>
      <c r="AT239" s="29"/>
      <c r="AU239" s="29"/>
      <c r="AV239" s="29"/>
      <c r="AW239" s="29"/>
      <c r="AX239" s="29"/>
      <c r="AY239" s="29"/>
      <c r="AZ239" s="107"/>
      <c r="BA239" s="29"/>
      <c r="BB239" s="29"/>
      <c r="BC239" s="29"/>
      <c r="BD239" s="29"/>
      <c r="BE239" s="29"/>
      <c r="BF239" s="29"/>
      <c r="BG239" s="29"/>
      <c r="BH239" s="107"/>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107"/>
      <c r="CE239" s="29"/>
      <c r="CF239" s="29"/>
      <c r="CG239" s="29"/>
      <c r="CH239" s="29"/>
      <c r="CI239" s="29"/>
      <c r="CJ239" s="29"/>
      <c r="CK239" s="29"/>
      <c r="CL239" s="29"/>
      <c r="CM239" s="29"/>
      <c r="CN239" s="29"/>
      <c r="CO239" s="29"/>
      <c r="CP239" s="29"/>
      <c r="CQ239" s="29"/>
      <c r="CR239" s="29"/>
      <c r="CS239" s="29"/>
      <c r="CT239" s="29"/>
      <c r="CU239" s="29"/>
      <c r="CV239" s="29"/>
      <c r="CW239" s="107"/>
      <c r="CX239" s="7"/>
      <c r="CY239" s="7"/>
      <c r="CZ239" s="7"/>
      <c r="DA239" s="7"/>
      <c r="DB239" s="7"/>
      <c r="DC239" s="7"/>
      <c r="DD239" s="7"/>
      <c r="DE239" s="7"/>
      <c r="DF239" s="7"/>
      <c r="DG239" s="7"/>
      <c r="DH239" s="7"/>
      <c r="DI239" s="7"/>
      <c r="DJ239" s="7"/>
      <c r="DK239" s="7"/>
      <c r="DL239" s="7"/>
      <c r="DM239" s="7"/>
      <c r="DN239" s="7"/>
      <c r="DO239" s="7"/>
      <c r="DP239" s="7"/>
      <c r="DQ239" s="7"/>
      <c r="DR239" s="7"/>
      <c r="DS239" s="7"/>
      <c r="DT239" s="7"/>
      <c r="DU239" s="7"/>
      <c r="DV239" s="7"/>
      <c r="DW239" s="7"/>
      <c r="DX239" s="7"/>
      <c r="DY239" s="7"/>
      <c r="DZ239" s="7"/>
      <c r="EA239" s="7"/>
    </row>
    <row r="240" spans="1:131">
      <c r="A240" s="7"/>
      <c r="B240" s="7"/>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107"/>
      <c r="AT240" s="29"/>
      <c r="AU240" s="29"/>
      <c r="AV240" s="29"/>
      <c r="AW240" s="29"/>
      <c r="AX240" s="29"/>
      <c r="AY240" s="29"/>
      <c r="AZ240" s="107"/>
      <c r="BA240" s="29"/>
      <c r="BB240" s="29"/>
      <c r="BC240" s="29"/>
      <c r="BD240" s="29"/>
      <c r="BE240" s="29"/>
      <c r="BF240" s="29"/>
      <c r="BG240" s="29"/>
      <c r="BH240" s="107"/>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107"/>
      <c r="CE240" s="29"/>
      <c r="CF240" s="29"/>
      <c r="CG240" s="29"/>
      <c r="CH240" s="29"/>
      <c r="CI240" s="29"/>
      <c r="CJ240" s="29"/>
      <c r="CK240" s="29"/>
      <c r="CL240" s="29"/>
      <c r="CM240" s="29"/>
      <c r="CN240" s="29"/>
      <c r="CO240" s="29"/>
      <c r="CP240" s="29"/>
      <c r="CQ240" s="29"/>
      <c r="CR240" s="29"/>
      <c r="CS240" s="29"/>
      <c r="CT240" s="29"/>
      <c r="CU240" s="29"/>
      <c r="CV240" s="29"/>
      <c r="CW240" s="107"/>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row>
    <row r="241" spans="1:131" ht="13.5" thickBot="1">
      <c r="A241" s="27" t="s">
        <v>45</v>
      </c>
      <c r="B241" s="28"/>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107"/>
      <c r="AT241" s="29"/>
      <c r="AU241" s="29"/>
      <c r="AV241" s="29"/>
      <c r="AW241" s="29"/>
      <c r="AX241" s="29"/>
      <c r="AY241" s="29"/>
      <c r="AZ241" s="107"/>
      <c r="BA241" s="29"/>
      <c r="BB241" s="29"/>
      <c r="BC241" s="29"/>
      <c r="BD241" s="29"/>
      <c r="BE241" s="29"/>
      <c r="BF241" s="29"/>
      <c r="BG241" s="29"/>
      <c r="BH241" s="107"/>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107"/>
      <c r="CE241" s="29"/>
      <c r="CF241" s="29"/>
      <c r="CG241" s="29"/>
      <c r="CH241" s="29"/>
      <c r="CI241" s="29"/>
      <c r="CJ241" s="29"/>
      <c r="CK241" s="29"/>
      <c r="CL241" s="29"/>
      <c r="CM241" s="29"/>
      <c r="CN241" s="29"/>
      <c r="CO241" s="29"/>
      <c r="CP241" s="29"/>
      <c r="CQ241" s="29"/>
      <c r="CR241" s="29"/>
      <c r="CS241" s="29"/>
      <c r="CT241" s="29"/>
      <c r="CU241" s="29"/>
      <c r="CV241" s="29"/>
      <c r="CW241" s="107"/>
      <c r="CX241" s="7"/>
      <c r="CY241" s="7"/>
      <c r="CZ241" s="7"/>
      <c r="DA241" s="7"/>
      <c r="DB241" s="7"/>
      <c r="DC241" s="7"/>
      <c r="DD241" s="7"/>
      <c r="DE241" s="7"/>
      <c r="DF241" s="7"/>
      <c r="DG241" s="7"/>
      <c r="DH241" s="7"/>
      <c r="DI241" s="7"/>
      <c r="DJ241" s="7"/>
      <c r="DK241" s="7"/>
      <c r="DL241" s="7"/>
      <c r="DM241" s="7"/>
      <c r="DN241" s="7"/>
      <c r="DO241" s="7"/>
      <c r="DP241" s="7"/>
      <c r="DQ241" s="7"/>
      <c r="DR241" s="7"/>
      <c r="DS241" s="7"/>
      <c r="DT241" s="7"/>
      <c r="DU241" s="7"/>
      <c r="DV241" s="7"/>
      <c r="DW241" s="7"/>
      <c r="DX241" s="7"/>
      <c r="DY241" s="7"/>
      <c r="DZ241" s="7"/>
      <c r="EA241" s="7"/>
    </row>
    <row r="242" spans="1:131" ht="13.5" thickBot="1">
      <c r="A242" s="36"/>
      <c r="B242" s="37"/>
      <c r="C242" s="38"/>
      <c r="D242" s="38"/>
      <c r="E242" s="38"/>
      <c r="F242" s="38"/>
      <c r="G242" s="38"/>
      <c r="H242" s="38"/>
      <c r="I242" s="38"/>
      <c r="J242" s="38"/>
      <c r="K242" s="38"/>
      <c r="L242" s="38"/>
      <c r="M242" s="38"/>
      <c r="N242" s="38"/>
      <c r="O242" s="39" t="s">
        <v>559</v>
      </c>
      <c r="P242" s="40"/>
      <c r="Q242" s="40"/>
      <c r="R242" s="40"/>
      <c r="S242" s="40"/>
      <c r="T242" s="40"/>
      <c r="U242" s="40"/>
      <c r="V242" s="40"/>
      <c r="W242" s="40"/>
      <c r="X242" s="40"/>
      <c r="Y242" s="40"/>
      <c r="Z242" s="34"/>
      <c r="AA242" s="38"/>
      <c r="AB242" s="39" t="s">
        <v>560</v>
      </c>
      <c r="AC242" s="40"/>
      <c r="AD242" s="40"/>
      <c r="AE242" s="40"/>
      <c r="AF242" s="40"/>
      <c r="AG242" s="40"/>
      <c r="AH242" s="40"/>
      <c r="AI242" s="40"/>
      <c r="AJ242" s="40"/>
      <c r="AK242" s="40"/>
      <c r="AL242" s="40"/>
      <c r="AM242" s="34"/>
      <c r="AN242" s="29"/>
      <c r="AO242" s="29"/>
      <c r="AP242" s="29"/>
      <c r="AQ242" s="29"/>
      <c r="AR242" s="29"/>
      <c r="AS242" s="107"/>
      <c r="AT242" s="29"/>
      <c r="AU242" s="29"/>
      <c r="AV242" s="29"/>
      <c r="AW242" s="29"/>
      <c r="AX242" s="29"/>
      <c r="AY242" s="29"/>
      <c r="AZ242" s="107"/>
      <c r="BA242" s="29"/>
      <c r="BB242" s="29"/>
      <c r="BC242" s="29"/>
      <c r="BD242" s="29"/>
      <c r="BE242" s="29"/>
      <c r="BF242" s="29"/>
      <c r="BG242" s="29"/>
      <c r="BH242" s="107"/>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107"/>
      <c r="CE242" s="29"/>
      <c r="CF242" s="29"/>
      <c r="CG242" s="29"/>
      <c r="CH242" s="29"/>
      <c r="CI242" s="29"/>
      <c r="CJ242" s="29"/>
      <c r="CK242" s="29"/>
      <c r="CL242" s="29"/>
      <c r="CM242" s="29"/>
      <c r="CN242" s="29"/>
      <c r="CO242" s="29"/>
      <c r="CP242" s="29"/>
      <c r="CQ242" s="29"/>
      <c r="CR242" s="29"/>
      <c r="CS242" s="29"/>
      <c r="CT242" s="29"/>
      <c r="CU242" s="29"/>
      <c r="CV242" s="29"/>
      <c r="CW242" s="107"/>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row>
    <row r="243" spans="1:131" ht="191.25">
      <c r="A243" s="30" t="s">
        <v>21</v>
      </c>
      <c r="B243" s="31" t="s">
        <v>22</v>
      </c>
      <c r="C243" s="32" t="s">
        <v>46</v>
      </c>
      <c r="D243" s="32" t="s">
        <v>25</v>
      </c>
      <c r="E243" s="32" t="s">
        <v>26</v>
      </c>
      <c r="F243" s="32" t="s">
        <v>27</v>
      </c>
      <c r="G243" s="32" t="s">
        <v>28</v>
      </c>
      <c r="H243" s="32" t="s">
        <v>29</v>
      </c>
      <c r="I243" s="32" t="s">
        <v>30</v>
      </c>
      <c r="J243" s="32" t="s">
        <v>31</v>
      </c>
      <c r="K243" s="32" t="s">
        <v>24</v>
      </c>
      <c r="L243" s="32" t="s">
        <v>23</v>
      </c>
      <c r="M243" s="32" t="s">
        <v>32</v>
      </c>
      <c r="N243" s="32" t="s">
        <v>561</v>
      </c>
      <c r="O243" s="32" t="s">
        <v>33</v>
      </c>
      <c r="P243" s="32" t="s">
        <v>34</v>
      </c>
      <c r="Q243" s="32" t="s">
        <v>35</v>
      </c>
      <c r="R243" s="32" t="s">
        <v>36</v>
      </c>
      <c r="S243" s="32" t="s">
        <v>37</v>
      </c>
      <c r="T243" s="32" t="s">
        <v>38</v>
      </c>
      <c r="U243" s="32" t="s">
        <v>39</v>
      </c>
      <c r="V243" s="32" t="s">
        <v>40</v>
      </c>
      <c r="W243" s="32" t="s">
        <v>41</v>
      </c>
      <c r="X243" s="32" t="s">
        <v>42</v>
      </c>
      <c r="Y243" s="32" t="s">
        <v>43</v>
      </c>
      <c r="Z243" s="32" t="s">
        <v>44</v>
      </c>
      <c r="AA243" s="32"/>
      <c r="AB243" s="32" t="s">
        <v>33</v>
      </c>
      <c r="AC243" s="32" t="s">
        <v>34</v>
      </c>
      <c r="AD243" s="32" t="s">
        <v>35</v>
      </c>
      <c r="AE243" s="32" t="s">
        <v>36</v>
      </c>
      <c r="AF243" s="32" t="s">
        <v>37</v>
      </c>
      <c r="AG243" s="32" t="s">
        <v>38</v>
      </c>
      <c r="AH243" s="32" t="s">
        <v>39</v>
      </c>
      <c r="AI243" s="32" t="s">
        <v>40</v>
      </c>
      <c r="AJ243" s="32" t="s">
        <v>41</v>
      </c>
      <c r="AK243" s="32" t="s">
        <v>42</v>
      </c>
      <c r="AL243" s="32" t="s">
        <v>43</v>
      </c>
      <c r="AM243" s="32" t="s">
        <v>44</v>
      </c>
      <c r="AN243" s="29"/>
      <c r="AO243" s="29"/>
      <c r="AP243" s="29"/>
      <c r="AQ243" s="29"/>
      <c r="AR243" s="29"/>
      <c r="AS243" s="107"/>
      <c r="AT243" s="29"/>
      <c r="AU243" s="29"/>
      <c r="AV243" s="29"/>
      <c r="AW243" s="29"/>
      <c r="AX243" s="29"/>
      <c r="AY243" s="29"/>
      <c r="AZ243" s="107"/>
      <c r="BA243" s="29"/>
      <c r="BB243" s="29"/>
      <c r="BC243" s="29"/>
      <c r="BD243" s="29"/>
      <c r="BE243" s="29"/>
      <c r="BF243" s="29"/>
      <c r="BG243" s="29"/>
      <c r="BH243" s="107"/>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107"/>
      <c r="CE243" s="29"/>
      <c r="CF243" s="29"/>
      <c r="CG243" s="29"/>
      <c r="CH243" s="29"/>
      <c r="CI243" s="29"/>
      <c r="CJ243" s="29"/>
      <c r="CK243" s="29"/>
      <c r="CL243" s="29"/>
      <c r="CM243" s="29"/>
      <c r="CN243" s="29"/>
      <c r="CO243" s="29"/>
      <c r="CP243" s="29"/>
      <c r="CQ243" s="29"/>
      <c r="CR243" s="29"/>
      <c r="CS243" s="29"/>
      <c r="CT243" s="29"/>
      <c r="CU243" s="29"/>
      <c r="CV243" s="29"/>
      <c r="CW243" s="107"/>
      <c r="CX243" s="7"/>
      <c r="CY243" s="7"/>
      <c r="CZ243" s="7"/>
      <c r="DA243" s="7"/>
      <c r="DB243" s="7"/>
      <c r="DC243" s="7"/>
      <c r="DD243" s="7"/>
      <c r="DE243" s="7"/>
      <c r="DF243" s="7"/>
      <c r="DG243" s="7"/>
      <c r="DH243" s="7"/>
      <c r="DI243" s="7"/>
      <c r="DJ243" s="7"/>
      <c r="DK243" s="7"/>
      <c r="DL243" s="7"/>
      <c r="DM243" s="7"/>
      <c r="DN243" s="7"/>
      <c r="DO243" s="7"/>
      <c r="DP243" s="7"/>
      <c r="DQ243" s="7"/>
      <c r="DR243" s="7"/>
      <c r="DS243" s="7"/>
      <c r="DT243" s="7"/>
      <c r="DU243" s="7"/>
      <c r="DV243" s="7"/>
      <c r="DW243" s="7"/>
      <c r="DX243" s="7"/>
      <c r="DY243" s="7"/>
      <c r="DZ243" s="7"/>
      <c r="EA243" s="7"/>
    </row>
    <row r="244" spans="1:131">
      <c r="A244" s="7" t="s">
        <v>487</v>
      </c>
      <c r="B244" s="7"/>
      <c r="C244" s="35">
        <v>1182.3091174891661</v>
      </c>
      <c r="D244" s="35">
        <v>724.5875237038573</v>
      </c>
      <c r="E244" s="35">
        <v>144.91750474077148</v>
      </c>
      <c r="F244" s="35">
        <v>869.50502844462881</v>
      </c>
      <c r="G244" s="35">
        <v>1147.7784165052387</v>
      </c>
      <c r="H244" s="35">
        <v>758.44393887932233</v>
      </c>
      <c r="I244" s="35">
        <v>6442.3626076323008</v>
      </c>
      <c r="J244" s="35">
        <v>24.369703215790437</v>
      </c>
      <c r="K244" s="35">
        <v>61.951432106144111</v>
      </c>
      <c r="L244" s="107">
        <v>0.68273844494599789</v>
      </c>
      <c r="M244" s="35">
        <v>11.194443688293612</v>
      </c>
      <c r="N244" s="35">
        <v>0.30033181865349817</v>
      </c>
      <c r="O244" s="35">
        <v>67.175244856328348</v>
      </c>
      <c r="P244" s="35">
        <v>59.386639881456667</v>
      </c>
      <c r="Q244" s="35">
        <v>72.400224933607063</v>
      </c>
      <c r="R244" s="35">
        <v>73.940071263095021</v>
      </c>
      <c r="S244" s="35">
        <v>79.985507400545828</v>
      </c>
      <c r="T244" s="35">
        <v>89.654571991942817</v>
      </c>
      <c r="U244" s="35">
        <v>34.212027120725203</v>
      </c>
      <c r="V244" s="35">
        <v>39.555072152198456</v>
      </c>
      <c r="W244" s="35">
        <v>58.342085308220092</v>
      </c>
      <c r="X244" s="35">
        <v>80.383038487537902</v>
      </c>
      <c r="Y244" s="35">
        <v>77.822407976704469</v>
      </c>
      <c r="Z244" s="35">
        <v>69.502686122410893</v>
      </c>
      <c r="AA244" s="35"/>
      <c r="AB244" s="35">
        <v>30.131672272487638</v>
      </c>
      <c r="AC244" s="35">
        <v>24.871498558633323</v>
      </c>
      <c r="AD244" s="35">
        <v>26.318671843240619</v>
      </c>
      <c r="AE244" s="35">
        <v>33.490865843680425</v>
      </c>
      <c r="AF244" s="35">
        <v>40.41643824837967</v>
      </c>
      <c r="AG244" s="35">
        <v>36.988788944547771</v>
      </c>
      <c r="AH244" s="35">
        <v>28.243625256738991</v>
      </c>
      <c r="AI244" s="35">
        <v>22.107002584183082</v>
      </c>
      <c r="AJ244" s="35">
        <v>33.819926239008552</v>
      </c>
      <c r="AK244" s="35">
        <v>32.500292467996658</v>
      </c>
      <c r="AL244" s="35">
        <v>40.923422099207606</v>
      </c>
      <c r="AM244" s="29">
        <v>30.137335636288501</v>
      </c>
      <c r="AN244" s="29"/>
      <c r="AO244" s="29"/>
      <c r="AP244" s="29"/>
      <c r="AQ244" s="29"/>
      <c r="AR244" s="29"/>
      <c r="AS244" s="107"/>
      <c r="AT244" s="29"/>
      <c r="AU244" s="29"/>
      <c r="AV244" s="29"/>
      <c r="AW244" s="29"/>
      <c r="AX244" s="29"/>
      <c r="AY244" s="29"/>
      <c r="AZ244" s="107"/>
      <c r="BA244" s="29"/>
      <c r="BB244" s="29"/>
      <c r="BC244" s="29"/>
      <c r="BD244" s="29"/>
      <c r="BE244" s="29"/>
      <c r="BF244" s="29"/>
      <c r="BG244" s="29"/>
      <c r="BH244" s="107"/>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107"/>
      <c r="CE244" s="29"/>
      <c r="CF244" s="29"/>
      <c r="CG244" s="29"/>
      <c r="CH244" s="29"/>
      <c r="CI244" s="29"/>
      <c r="CJ244" s="29"/>
      <c r="CK244" s="29"/>
      <c r="CL244" s="29"/>
      <c r="CM244" s="29"/>
      <c r="CN244" s="29"/>
      <c r="CO244" s="29"/>
      <c r="CP244" s="29"/>
      <c r="CQ244" s="29"/>
      <c r="CR244" s="29"/>
      <c r="CS244" s="29"/>
      <c r="CT244" s="29"/>
      <c r="CU244" s="29"/>
      <c r="CV244" s="29"/>
      <c r="CW244" s="107"/>
      <c r="CX244" s="7"/>
      <c r="CY244" s="7"/>
      <c r="CZ244" s="7"/>
      <c r="DA244" s="7"/>
      <c r="DB244" s="7"/>
      <c r="DC244" s="7"/>
      <c r="DD244" s="7"/>
      <c r="DE244" s="7"/>
      <c r="DF244" s="7"/>
      <c r="DG244" s="7"/>
      <c r="DH244" s="7"/>
      <c r="DI244" s="7"/>
      <c r="DJ244" s="7"/>
      <c r="DK244" s="7"/>
      <c r="DL244" s="7"/>
      <c r="DM244" s="7"/>
      <c r="DN244" s="7"/>
      <c r="DO244" s="7"/>
      <c r="DP244" s="7"/>
      <c r="DQ244" s="7"/>
      <c r="DR244" s="7"/>
      <c r="DS244" s="7"/>
      <c r="DT244" s="7"/>
      <c r="DU244" s="7"/>
      <c r="DV244" s="7"/>
      <c r="DW244" s="7"/>
      <c r="DX244" s="7"/>
      <c r="DY244" s="7"/>
      <c r="DZ244" s="7"/>
      <c r="EA244" s="7"/>
    </row>
    <row r="245" spans="1:131">
      <c r="A245" s="7" t="s">
        <v>475</v>
      </c>
      <c r="B245" s="7"/>
      <c r="C245" s="35">
        <v>1178.5826717098373</v>
      </c>
      <c r="D245" s="35">
        <v>724.58752370386082</v>
      </c>
      <c r="E245" s="35">
        <v>144.91750474077216</v>
      </c>
      <c r="F245" s="35">
        <v>869.50502844463301</v>
      </c>
      <c r="G245" s="35">
        <v>1147.7784165052444</v>
      </c>
      <c r="H245" s="35">
        <v>756.67663331884546</v>
      </c>
      <c r="I245" s="35">
        <v>6462.7320866042974</v>
      </c>
      <c r="J245" s="35">
        <v>24.53534549722675</v>
      </c>
      <c r="K245" s="35">
        <v>62.140138137376972</v>
      </c>
      <c r="L245" s="107">
        <v>0.68089945280961583</v>
      </c>
      <c r="M245" s="35">
        <v>11.155473417845144</v>
      </c>
      <c r="N245" s="35">
        <v>0.29849283256234388</v>
      </c>
      <c r="O245" s="35">
        <v>66.763918672128071</v>
      </c>
      <c r="P245" s="35">
        <v>59.023004735397137</v>
      </c>
      <c r="Q245" s="35">
        <v>71.956905250576881</v>
      </c>
      <c r="R245" s="35">
        <v>73.513249714074973</v>
      </c>
      <c r="S245" s="35">
        <v>79.622803482952122</v>
      </c>
      <c r="T245" s="35">
        <v>89.249367800785535</v>
      </c>
      <c r="U245" s="35">
        <v>34.986085772627803</v>
      </c>
      <c r="V245" s="35">
        <v>40.30003268853428</v>
      </c>
      <c r="W245" s="35">
        <v>58.382558401603852</v>
      </c>
      <c r="X245" s="35">
        <v>79.961680405081481</v>
      </c>
      <c r="Y245" s="35">
        <v>77.345887285387334</v>
      </c>
      <c r="Z245" s="35">
        <v>69.077108594029056</v>
      </c>
      <c r="AA245" s="35"/>
      <c r="AB245" s="35">
        <v>29.947170588780743</v>
      </c>
      <c r="AC245" s="35">
        <v>24.719205870763776</v>
      </c>
      <c r="AD245" s="35">
        <v>26.15751785138465</v>
      </c>
      <c r="AE245" s="35">
        <v>33.292959171860502</v>
      </c>
      <c r="AF245" s="35">
        <v>40.207671939497487</v>
      </c>
      <c r="AG245" s="35">
        <v>36.794508712028552</v>
      </c>
      <c r="AH245" s="35">
        <v>28.385146726810323</v>
      </c>
      <c r="AI245" s="35">
        <v>22.186175562671423</v>
      </c>
      <c r="AJ245" s="35">
        <v>33.760258131138208</v>
      </c>
      <c r="AK245" s="35">
        <v>32.323814499134876</v>
      </c>
      <c r="AL245" s="35">
        <v>40.672840577808088</v>
      </c>
      <c r="AM245" s="29">
        <v>29.952799274779878</v>
      </c>
      <c r="AN245" s="29"/>
      <c r="AO245" s="29"/>
      <c r="AP245" s="29"/>
      <c r="AQ245" s="29"/>
      <c r="AR245" s="29"/>
      <c r="AS245" s="107"/>
      <c r="AT245" s="29"/>
      <c r="AU245" s="29"/>
      <c r="AV245" s="29"/>
      <c r="AW245" s="29"/>
      <c r="AX245" s="29"/>
      <c r="AY245" s="29"/>
      <c r="AZ245" s="107"/>
      <c r="BA245" s="29"/>
      <c r="BB245" s="29"/>
      <c r="BC245" s="29"/>
      <c r="BD245" s="29"/>
      <c r="BE245" s="29"/>
      <c r="BF245" s="29"/>
      <c r="BG245" s="29"/>
      <c r="BH245" s="107"/>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107"/>
      <c r="CE245" s="29"/>
      <c r="CF245" s="29"/>
      <c r="CG245" s="29"/>
      <c r="CH245" s="29"/>
      <c r="CI245" s="29"/>
      <c r="CJ245" s="29"/>
      <c r="CK245" s="29"/>
      <c r="CL245" s="29"/>
      <c r="CM245" s="29"/>
      <c r="CN245" s="29"/>
      <c r="CO245" s="29"/>
      <c r="CP245" s="29"/>
      <c r="CQ245" s="29"/>
      <c r="CR245" s="29"/>
      <c r="CS245" s="29"/>
      <c r="CT245" s="29"/>
      <c r="CU245" s="29"/>
      <c r="CV245" s="29"/>
      <c r="CW245" s="107"/>
      <c r="CX245" s="7"/>
      <c r="CY245" s="7"/>
      <c r="CZ245" s="7"/>
      <c r="DA245" s="7"/>
      <c r="DB245" s="7"/>
      <c r="DC245" s="7"/>
      <c r="DD245" s="7"/>
      <c r="DE245" s="7"/>
      <c r="DF245" s="7"/>
      <c r="DG245" s="7"/>
      <c r="DH245" s="7"/>
      <c r="DI245" s="7"/>
      <c r="DJ245" s="7"/>
      <c r="DK245" s="7"/>
      <c r="DL245" s="7"/>
      <c r="DM245" s="7"/>
      <c r="DN245" s="7"/>
      <c r="DO245" s="7"/>
      <c r="DP245" s="7"/>
      <c r="DQ245" s="7"/>
      <c r="DR245" s="7"/>
      <c r="DS245" s="7"/>
      <c r="DT245" s="7"/>
      <c r="DU245" s="7"/>
      <c r="DV245" s="7"/>
      <c r="DW245" s="7"/>
      <c r="DX245" s="7"/>
      <c r="DY245" s="7"/>
      <c r="DZ245" s="7"/>
      <c r="EA245" s="7"/>
    </row>
    <row r="246" spans="1:131">
      <c r="A246" s="7" t="s">
        <v>471</v>
      </c>
      <c r="B246" s="7"/>
      <c r="C246" s="35">
        <v>1121.4904168963346</v>
      </c>
      <c r="D246" s="35">
        <v>724.5875237038573</v>
      </c>
      <c r="E246" s="35">
        <v>144.91750474077148</v>
      </c>
      <c r="F246" s="35">
        <v>869.50502844462881</v>
      </c>
      <c r="G246" s="35">
        <v>1147.7784165052387</v>
      </c>
      <c r="H246" s="35">
        <v>768.60485076900204</v>
      </c>
      <c r="I246" s="35">
        <v>6791.7335132066628</v>
      </c>
      <c r="J246" s="35">
        <v>28.261121548784736</v>
      </c>
      <c r="K246" s="35">
        <v>62.671853732153288</v>
      </c>
      <c r="L246" s="107">
        <v>0.66964567351706594</v>
      </c>
      <c r="M246" s="35">
        <v>10.654286564049743</v>
      </c>
      <c r="N246" s="35">
        <v>0.24957019939213321</v>
      </c>
      <c r="O246" s="35">
        <v>55.821388856317583</v>
      </c>
      <c r="P246" s="35">
        <v>49.349201663784726</v>
      </c>
      <c r="Q246" s="35">
        <v>60.16325038078714</v>
      </c>
      <c r="R246" s="35">
        <v>62.468776687174461</v>
      </c>
      <c r="S246" s="35">
        <v>71.494391757248707</v>
      </c>
      <c r="T246" s="35">
        <v>80.190238777804836</v>
      </c>
      <c r="U246" s="35">
        <v>67.349029613039406</v>
      </c>
      <c r="V246" s="35">
        <v>71.932180278638</v>
      </c>
      <c r="W246" s="35">
        <v>64.218906548729947</v>
      </c>
      <c r="X246" s="35">
        <v>69.600073570856154</v>
      </c>
      <c r="Y246" s="35">
        <v>64.668984313331691</v>
      </c>
      <c r="Z246" s="35">
        <v>57.755449756035766</v>
      </c>
      <c r="AA246" s="35"/>
      <c r="AB246" s="35">
        <v>25.038863847959643</v>
      </c>
      <c r="AC246" s="35">
        <v>20.667756462979366</v>
      </c>
      <c r="AD246" s="35">
        <v>21.870330602241363</v>
      </c>
      <c r="AE246" s="35">
        <v>28.113773539506127</v>
      </c>
      <c r="AF246" s="35">
        <v>35.117125600744593</v>
      </c>
      <c r="AG246" s="35">
        <v>32.011522589806923</v>
      </c>
      <c r="AH246" s="35">
        <v>35.913392084015449</v>
      </c>
      <c r="AI246" s="35">
        <v>26.859913922098357</v>
      </c>
      <c r="AJ246" s="35">
        <v>33.937129612246721</v>
      </c>
      <c r="AK246" s="35">
        <v>27.898557937161815</v>
      </c>
      <c r="AL246" s="35">
        <v>34.006608357597862</v>
      </c>
      <c r="AM246" s="29">
        <v>25.043570136227579</v>
      </c>
      <c r="AN246" s="29"/>
      <c r="AO246" s="29"/>
      <c r="AP246" s="29"/>
      <c r="AQ246" s="29"/>
      <c r="AR246" s="29"/>
      <c r="AS246" s="107"/>
      <c r="AT246" s="29"/>
      <c r="AU246" s="29"/>
      <c r="AV246" s="29"/>
      <c r="AW246" s="29"/>
      <c r="AX246" s="29"/>
      <c r="AY246" s="29"/>
      <c r="AZ246" s="107"/>
      <c r="BA246" s="29"/>
      <c r="BB246" s="29"/>
      <c r="BC246" s="29"/>
      <c r="BD246" s="29"/>
      <c r="BE246" s="29"/>
      <c r="BF246" s="29"/>
      <c r="BG246" s="29"/>
      <c r="BH246" s="107"/>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107"/>
      <c r="CE246" s="29"/>
      <c r="CF246" s="29"/>
      <c r="CG246" s="29"/>
      <c r="CH246" s="29"/>
      <c r="CI246" s="29"/>
      <c r="CJ246" s="29"/>
      <c r="CK246" s="29"/>
      <c r="CL246" s="29"/>
      <c r="CM246" s="29"/>
      <c r="CN246" s="29"/>
      <c r="CO246" s="29"/>
      <c r="CP246" s="29"/>
      <c r="CQ246" s="29"/>
      <c r="CR246" s="29"/>
      <c r="CS246" s="29"/>
      <c r="CT246" s="29"/>
      <c r="CU246" s="29"/>
      <c r="CV246" s="29"/>
      <c r="CW246" s="10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row>
    <row r="247" spans="1:131">
      <c r="A247" s="7" t="s">
        <v>485</v>
      </c>
      <c r="B247" s="7"/>
      <c r="C247" s="35">
        <v>1367.6145062653491</v>
      </c>
      <c r="D247" s="35">
        <v>724.5875237038573</v>
      </c>
      <c r="E247" s="35">
        <v>144.91750474077148</v>
      </c>
      <c r="F247" s="35">
        <v>869.50502844462881</v>
      </c>
      <c r="G247" s="35">
        <v>1147.7784165052387</v>
      </c>
      <c r="H247" s="35">
        <v>578.7373848488354</v>
      </c>
      <c r="I247" s="35">
        <v>5569.4525133218349</v>
      </c>
      <c r="J247" s="35">
        <v>21.397377314435836</v>
      </c>
      <c r="K247" s="35">
        <v>68.411966327303134</v>
      </c>
      <c r="L247" s="107">
        <v>0.61991423914801769</v>
      </c>
      <c r="M247" s="35">
        <v>10.749637147601433</v>
      </c>
      <c r="N247" s="35">
        <v>0.29239115223298567</v>
      </c>
      <c r="O247" s="35">
        <v>65.483673404918065</v>
      </c>
      <c r="P247" s="35">
        <v>58.152451304194301</v>
      </c>
      <c r="Q247" s="35">
        <v>71.281827066511369</v>
      </c>
      <c r="R247" s="35">
        <v>74.52319390997215</v>
      </c>
      <c r="S247" s="35">
        <v>86.867530884106714</v>
      </c>
      <c r="T247" s="35">
        <v>97.756118862523337</v>
      </c>
      <c r="U247" s="35">
        <v>90.318365147601426</v>
      </c>
      <c r="V247" s="35">
        <v>95.871903437791957</v>
      </c>
      <c r="W247" s="35">
        <v>80.839270557877711</v>
      </c>
      <c r="X247" s="35">
        <v>83.737587238293216</v>
      </c>
      <c r="Y247" s="35">
        <v>76.733539827225798</v>
      </c>
      <c r="Z247" s="35">
        <v>67.531338588891288</v>
      </c>
      <c r="AA247" s="35"/>
      <c r="AB247" s="35">
        <v>29.056457791152773</v>
      </c>
      <c r="AC247" s="35">
        <v>24.06596450056475</v>
      </c>
      <c r="AD247" s="35">
        <v>25.694684555980427</v>
      </c>
      <c r="AE247" s="35">
        <v>33.36456735292132</v>
      </c>
      <c r="AF247" s="35">
        <v>42.415403970241641</v>
      </c>
      <c r="AG247" s="35">
        <v>38.774713833977607</v>
      </c>
      <c r="AH247" s="35">
        <v>46.176075257210272</v>
      </c>
      <c r="AI247" s="35">
        <v>34.341388675215917</v>
      </c>
      <c r="AJ247" s="35">
        <v>42.117992884977056</v>
      </c>
      <c r="AK247" s="35">
        <v>33.431010043596871</v>
      </c>
      <c r="AL247" s="35">
        <v>40.211018392542421</v>
      </c>
      <c r="AM247" s="29">
        <v>28.868428777060434</v>
      </c>
      <c r="AN247" s="29"/>
      <c r="AO247" s="29"/>
      <c r="AP247" s="29"/>
      <c r="AQ247" s="29"/>
      <c r="AR247" s="29"/>
      <c r="AS247" s="107"/>
      <c r="AT247" s="29"/>
      <c r="AU247" s="29"/>
      <c r="AV247" s="29"/>
      <c r="AW247" s="29"/>
      <c r="AX247" s="29"/>
      <c r="AY247" s="29"/>
      <c r="AZ247" s="107"/>
      <c r="BA247" s="29"/>
      <c r="BB247" s="29"/>
      <c r="BC247" s="29"/>
      <c r="BD247" s="29"/>
      <c r="BE247" s="29"/>
      <c r="BF247" s="29"/>
      <c r="BG247" s="29"/>
      <c r="BH247" s="107"/>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107"/>
      <c r="CE247" s="29"/>
      <c r="CF247" s="29"/>
      <c r="CG247" s="29"/>
      <c r="CH247" s="29"/>
      <c r="CI247" s="29"/>
      <c r="CJ247" s="29"/>
      <c r="CK247" s="29"/>
      <c r="CL247" s="29"/>
      <c r="CM247" s="29"/>
      <c r="CN247" s="29"/>
      <c r="CO247" s="29"/>
      <c r="CP247" s="29"/>
      <c r="CQ247" s="29"/>
      <c r="CR247" s="29"/>
      <c r="CS247" s="29"/>
      <c r="CT247" s="29"/>
      <c r="CU247" s="29"/>
      <c r="CV247" s="29"/>
      <c r="CW247" s="107"/>
      <c r="CX247" s="7"/>
      <c r="CY247" s="7"/>
      <c r="CZ247" s="7"/>
      <c r="DA247" s="7"/>
      <c r="DB247" s="7"/>
      <c r="DC247" s="7"/>
      <c r="DD247" s="7"/>
      <c r="DE247" s="7"/>
      <c r="DF247" s="7"/>
      <c r="DG247" s="7"/>
      <c r="DH247" s="7"/>
      <c r="DI247" s="7"/>
      <c r="DJ247" s="7"/>
      <c r="DK247" s="7"/>
      <c r="DL247" s="7"/>
      <c r="DM247" s="7"/>
      <c r="DN247" s="7"/>
      <c r="DO247" s="7"/>
      <c r="DP247" s="7"/>
      <c r="DQ247" s="7"/>
      <c r="DR247" s="7"/>
      <c r="DS247" s="7"/>
      <c r="DT247" s="7"/>
      <c r="DU247" s="7"/>
      <c r="DV247" s="7"/>
      <c r="DW247" s="7"/>
      <c r="DX247" s="7"/>
      <c r="DY247" s="7"/>
      <c r="DZ247" s="7"/>
      <c r="EA247" s="7"/>
    </row>
    <row r="248" spans="1:131">
      <c r="A248" s="7" t="s">
        <v>484</v>
      </c>
      <c r="B248" s="7"/>
      <c r="C248" s="35">
        <v>1351.2543502462204</v>
      </c>
      <c r="D248" s="35">
        <v>724.5875237038573</v>
      </c>
      <c r="E248" s="35">
        <v>144.91750474077148</v>
      </c>
      <c r="F248" s="35">
        <v>869.50502844462881</v>
      </c>
      <c r="G248" s="35">
        <v>1147.7784165052387</v>
      </c>
      <c r="H248" s="35">
        <v>576.69665959373583</v>
      </c>
      <c r="I248" s="35">
        <v>5636.8840165339943</v>
      </c>
      <c r="J248" s="35">
        <v>21.48281160492397</v>
      </c>
      <c r="K248" s="35">
        <v>68.882019400713702</v>
      </c>
      <c r="L248" s="107">
        <v>0.61768545196551228</v>
      </c>
      <c r="M248" s="35">
        <v>10.613260239876858</v>
      </c>
      <c r="N248" s="35">
        <v>0.29652353065166898</v>
      </c>
      <c r="O248" s="35">
        <v>66.400845982660599</v>
      </c>
      <c r="P248" s="35">
        <v>58.941283697638553</v>
      </c>
      <c r="Q248" s="35">
        <v>72.210995173130371</v>
      </c>
      <c r="R248" s="35">
        <v>75.220628219844897</v>
      </c>
      <c r="S248" s="35">
        <v>86.689962608799831</v>
      </c>
      <c r="T248" s="35">
        <v>97.518936992931856</v>
      </c>
      <c r="U248" s="35">
        <v>81.959150135638467</v>
      </c>
      <c r="V248" s="35">
        <v>87.541761896431936</v>
      </c>
      <c r="W248" s="35">
        <v>77.98842359648178</v>
      </c>
      <c r="X248" s="35">
        <v>84.091954725047529</v>
      </c>
      <c r="Y248" s="35">
        <v>77.722755507409403</v>
      </c>
      <c r="Z248" s="35">
        <v>68.498912219004268</v>
      </c>
      <c r="AA248" s="35"/>
      <c r="AB248" s="35">
        <v>29.494505665110928</v>
      </c>
      <c r="AC248" s="35">
        <v>24.420638175241429</v>
      </c>
      <c r="AD248" s="35">
        <v>26.050761303828779</v>
      </c>
      <c r="AE248" s="35">
        <v>33.732104190098894</v>
      </c>
      <c r="AF248" s="35">
        <v>42.554615501169124</v>
      </c>
      <c r="AG248" s="35">
        <v>38.918970584062144</v>
      </c>
      <c r="AH248" s="35">
        <v>43.703530782840417</v>
      </c>
      <c r="AI248" s="35">
        <v>32.687241183415644</v>
      </c>
      <c r="AJ248" s="35">
        <v>41.205366138702786</v>
      </c>
      <c r="AK248" s="35">
        <v>33.635176959444543</v>
      </c>
      <c r="AL248" s="35">
        <v>40.742977114193629</v>
      </c>
      <c r="AM248" s="29">
        <v>29.322851893092185</v>
      </c>
      <c r="AN248" s="29"/>
      <c r="AO248" s="29"/>
      <c r="AP248" s="29"/>
      <c r="AQ248" s="29"/>
      <c r="AR248" s="29"/>
      <c r="AS248" s="107"/>
      <c r="AT248" s="29"/>
      <c r="AU248" s="29"/>
      <c r="AV248" s="29"/>
      <c r="AW248" s="29"/>
      <c r="AX248" s="29"/>
      <c r="AY248" s="29"/>
      <c r="AZ248" s="107"/>
      <c r="BA248" s="29"/>
      <c r="BB248" s="29"/>
      <c r="BC248" s="29"/>
      <c r="BD248" s="29"/>
      <c r="BE248" s="29"/>
      <c r="BF248" s="29"/>
      <c r="BG248" s="29"/>
      <c r="BH248" s="107"/>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107"/>
      <c r="CE248" s="29"/>
      <c r="CF248" s="29"/>
      <c r="CG248" s="29"/>
      <c r="CH248" s="29"/>
      <c r="CI248" s="29"/>
      <c r="CJ248" s="29"/>
      <c r="CK248" s="29"/>
      <c r="CL248" s="29"/>
      <c r="CM248" s="29"/>
      <c r="CN248" s="29"/>
      <c r="CO248" s="29"/>
      <c r="CP248" s="29"/>
      <c r="CQ248" s="29"/>
      <c r="CR248" s="29"/>
      <c r="CS248" s="29"/>
      <c r="CT248" s="29"/>
      <c r="CU248" s="29"/>
      <c r="CV248" s="29"/>
      <c r="CW248" s="107"/>
      <c r="CX248" s="7"/>
      <c r="CY248" s="7"/>
      <c r="CZ248" s="7"/>
      <c r="DA248" s="7"/>
      <c r="DB248" s="7"/>
      <c r="DC248" s="7"/>
      <c r="DD248" s="7"/>
      <c r="DE248" s="7"/>
      <c r="DF248" s="7"/>
      <c r="DG248" s="7"/>
      <c r="DH248" s="7"/>
      <c r="DI248" s="7"/>
      <c r="DJ248" s="7"/>
      <c r="DK248" s="7"/>
      <c r="DL248" s="7"/>
      <c r="DM248" s="7"/>
      <c r="DN248" s="7"/>
      <c r="DO248" s="7"/>
      <c r="DP248" s="7"/>
      <c r="DQ248" s="7"/>
      <c r="DR248" s="7"/>
      <c r="DS248" s="7"/>
      <c r="DT248" s="7"/>
      <c r="DU248" s="7"/>
      <c r="DV248" s="7"/>
      <c r="DW248" s="7"/>
      <c r="DX248" s="7"/>
      <c r="DY248" s="7"/>
      <c r="DZ248" s="7"/>
      <c r="EA248" s="7"/>
    </row>
    <row r="249" spans="1:131">
      <c r="A249" s="7" t="s">
        <v>473</v>
      </c>
      <c r="B249" s="7"/>
      <c r="C249" s="35">
        <v>1358.6845229206428</v>
      </c>
      <c r="D249" s="35">
        <v>724.58752370386082</v>
      </c>
      <c r="E249" s="35">
        <v>144.91750474077216</v>
      </c>
      <c r="F249" s="35">
        <v>869.50502844463301</v>
      </c>
      <c r="G249" s="35">
        <v>1147.7784165052444</v>
      </c>
      <c r="H249" s="35">
        <v>568.2692049499135</v>
      </c>
      <c r="I249" s="35">
        <v>5606.0578601437901</v>
      </c>
      <c r="J249" s="35">
        <v>21.618044896394199</v>
      </c>
      <c r="K249" s="35">
        <v>69.179824093007909</v>
      </c>
      <c r="L249" s="107">
        <v>0.6140558887367662</v>
      </c>
      <c r="M249" s="35">
        <v>10.633399822748316</v>
      </c>
      <c r="N249" s="35">
        <v>0.29047592546166073</v>
      </c>
      <c r="O249" s="35">
        <v>65.056103127780077</v>
      </c>
      <c r="P249" s="35">
        <v>57.776955153366963</v>
      </c>
      <c r="Q249" s="35">
        <v>70.827742794532142</v>
      </c>
      <c r="R249" s="35">
        <v>74.0504061780901</v>
      </c>
      <c r="S249" s="35">
        <v>86.318310029747934</v>
      </c>
      <c r="T249" s="35">
        <v>97.142887880019089</v>
      </c>
      <c r="U249" s="35">
        <v>89.676294159224483</v>
      </c>
      <c r="V249" s="35">
        <v>95.195559104583481</v>
      </c>
      <c r="W249" s="35">
        <v>80.305248775319441</v>
      </c>
      <c r="X249" s="35">
        <v>83.207591327152542</v>
      </c>
      <c r="Y249" s="35">
        <v>76.246532308944722</v>
      </c>
      <c r="Z249" s="35">
        <v>67.086838027688501</v>
      </c>
      <c r="AA249" s="35"/>
      <c r="AB249" s="35">
        <v>28.861641938535993</v>
      </c>
      <c r="AC249" s="35">
        <v>23.905942572728694</v>
      </c>
      <c r="AD249" s="35">
        <v>25.527537083128369</v>
      </c>
      <c r="AE249" s="35">
        <v>33.15119801703014</v>
      </c>
      <c r="AF249" s="35">
        <v>42.148863966007013</v>
      </c>
      <c r="AG249" s="35">
        <v>38.533534984531322</v>
      </c>
      <c r="AH249" s="35">
        <v>45.86475387955668</v>
      </c>
      <c r="AI249" s="35">
        <v>34.11161429371019</v>
      </c>
      <c r="AJ249" s="35">
        <v>41.844979177011965</v>
      </c>
      <c r="AK249" s="35">
        <v>33.218678586886661</v>
      </c>
      <c r="AL249" s="35">
        <v>39.953584556289556</v>
      </c>
      <c r="AM249" s="29">
        <v>28.671724998776305</v>
      </c>
      <c r="AN249" s="29"/>
      <c r="AO249" s="29"/>
      <c r="AP249" s="29"/>
      <c r="AQ249" s="29"/>
      <c r="AR249" s="29"/>
      <c r="AS249" s="107"/>
      <c r="AT249" s="29"/>
      <c r="AU249" s="29"/>
      <c r="AV249" s="29"/>
      <c r="AW249" s="29"/>
      <c r="AX249" s="29"/>
      <c r="AY249" s="29"/>
      <c r="AZ249" s="107"/>
      <c r="BA249" s="29"/>
      <c r="BB249" s="29"/>
      <c r="BC249" s="29"/>
      <c r="BD249" s="29"/>
      <c r="BE249" s="29"/>
      <c r="BF249" s="29"/>
      <c r="BG249" s="29"/>
      <c r="BH249" s="107"/>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107"/>
      <c r="CE249" s="29"/>
      <c r="CF249" s="29"/>
      <c r="CG249" s="29"/>
      <c r="CH249" s="29"/>
      <c r="CI249" s="29"/>
      <c r="CJ249" s="29"/>
      <c r="CK249" s="29"/>
      <c r="CL249" s="29"/>
      <c r="CM249" s="29"/>
      <c r="CN249" s="29"/>
      <c r="CO249" s="29"/>
      <c r="CP249" s="29"/>
      <c r="CQ249" s="29"/>
      <c r="CR249" s="29"/>
      <c r="CS249" s="29"/>
      <c r="CT249" s="29"/>
      <c r="CU249" s="29"/>
      <c r="CV249" s="29"/>
      <c r="CW249" s="107"/>
      <c r="CX249" s="7"/>
      <c r="CY249" s="7"/>
      <c r="CZ249" s="7"/>
      <c r="DA249" s="7"/>
      <c r="DB249" s="7"/>
      <c r="DC249" s="7"/>
      <c r="DD249" s="7"/>
      <c r="DE249" s="7"/>
      <c r="DF249" s="7"/>
      <c r="DG249" s="7"/>
      <c r="DH249" s="7"/>
      <c r="DI249" s="7"/>
      <c r="DJ249" s="7"/>
      <c r="DK249" s="7"/>
      <c r="DL249" s="7"/>
      <c r="DM249" s="7"/>
      <c r="DN249" s="7"/>
      <c r="DO249" s="7"/>
      <c r="DP249" s="7"/>
      <c r="DQ249" s="7"/>
      <c r="DR249" s="7"/>
      <c r="DS249" s="7"/>
      <c r="DT249" s="7"/>
      <c r="DU249" s="7"/>
      <c r="DV249" s="7"/>
      <c r="DW249" s="7"/>
      <c r="DX249" s="7"/>
      <c r="DY249" s="7"/>
      <c r="DZ249" s="7"/>
      <c r="EA249" s="7"/>
    </row>
    <row r="250" spans="1:131">
      <c r="A250" s="7" t="s">
        <v>472</v>
      </c>
      <c r="B250" s="7"/>
      <c r="C250" s="35">
        <v>1342.1286397245815</v>
      </c>
      <c r="D250" s="35">
        <v>724.58752370386082</v>
      </c>
      <c r="E250" s="35">
        <v>144.91750474077216</v>
      </c>
      <c r="F250" s="35">
        <v>869.50502844463301</v>
      </c>
      <c r="G250" s="35">
        <v>1147.7784165052444</v>
      </c>
      <c r="H250" s="35">
        <v>565.97114499468876</v>
      </c>
      <c r="I250" s="35">
        <v>5675.2116181188439</v>
      </c>
      <c r="J250" s="35">
        <v>21.715376734718298</v>
      </c>
      <c r="K250" s="35">
        <v>69.681389746023285</v>
      </c>
      <c r="L250" s="107">
        <v>0.61166466448144918</v>
      </c>
      <c r="M250" s="35">
        <v>10.494558533974342</v>
      </c>
      <c r="N250" s="35">
        <v>0.29447890126290738</v>
      </c>
      <c r="O250" s="35">
        <v>65.943780090889817</v>
      </c>
      <c r="P250" s="35">
        <v>58.538005129261556</v>
      </c>
      <c r="Q250" s="35">
        <v>71.720517282066112</v>
      </c>
      <c r="R250" s="35">
        <v>74.712158153038672</v>
      </c>
      <c r="S250" s="35">
        <v>86.110020791850786</v>
      </c>
      <c r="T250" s="35">
        <v>96.869401261164072</v>
      </c>
      <c r="U250" s="35">
        <v>81.413814132464239</v>
      </c>
      <c r="V250" s="35">
        <v>86.959332718700736</v>
      </c>
      <c r="W250" s="35">
        <v>77.467897130375164</v>
      </c>
      <c r="X250" s="35">
        <v>83.526381179724609</v>
      </c>
      <c r="Y250" s="35">
        <v>77.195888722411439</v>
      </c>
      <c r="Z250" s="35">
        <v>68.025338890451181</v>
      </c>
      <c r="AA250" s="35"/>
      <c r="AB250" s="35">
        <v>29.288526718230589</v>
      </c>
      <c r="AC250" s="35">
        <v>24.250866406773813</v>
      </c>
      <c r="AD250" s="35">
        <v>25.871804534774203</v>
      </c>
      <c r="AE250" s="35">
        <v>33.502870014147675</v>
      </c>
      <c r="AF250" s="35">
        <v>42.26966810644754</v>
      </c>
      <c r="AG250" s="35">
        <v>38.659645925541625</v>
      </c>
      <c r="AH250" s="35">
        <v>43.412732220357647</v>
      </c>
      <c r="AI250" s="35">
        <v>32.469753987115929</v>
      </c>
      <c r="AJ250" s="35">
        <v>40.930260815626625</v>
      </c>
      <c r="AK250" s="35">
        <v>33.408232230799726</v>
      </c>
      <c r="AL250" s="35">
        <v>40.465496373343314</v>
      </c>
      <c r="AM250" s="29">
        <v>29.116246909024039</v>
      </c>
      <c r="AN250" s="29"/>
      <c r="AO250" s="29"/>
      <c r="AP250" s="29"/>
      <c r="AQ250" s="29"/>
      <c r="AR250" s="29"/>
      <c r="AS250" s="107"/>
      <c r="AT250" s="29"/>
      <c r="AU250" s="29"/>
      <c r="AV250" s="29"/>
      <c r="AW250" s="29"/>
      <c r="AX250" s="29"/>
      <c r="AY250" s="29"/>
      <c r="AZ250" s="107"/>
      <c r="BA250" s="29"/>
      <c r="BB250" s="29"/>
      <c r="BC250" s="29"/>
      <c r="BD250" s="29"/>
      <c r="BE250" s="29"/>
      <c r="BF250" s="29"/>
      <c r="BG250" s="29"/>
      <c r="BH250" s="107"/>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107"/>
      <c r="CE250" s="29"/>
      <c r="CF250" s="29"/>
      <c r="CG250" s="29"/>
      <c r="CH250" s="29"/>
      <c r="CI250" s="29"/>
      <c r="CJ250" s="29"/>
      <c r="CK250" s="29"/>
      <c r="CL250" s="29"/>
      <c r="CM250" s="29"/>
      <c r="CN250" s="29"/>
      <c r="CO250" s="29"/>
      <c r="CP250" s="29"/>
      <c r="CQ250" s="29"/>
      <c r="CR250" s="29"/>
      <c r="CS250" s="29"/>
      <c r="CT250" s="29"/>
      <c r="CU250" s="29"/>
      <c r="CV250" s="29"/>
      <c r="CW250" s="107"/>
      <c r="CX250" s="7"/>
      <c r="CY250" s="7"/>
      <c r="CZ250" s="7"/>
      <c r="DA250" s="7"/>
      <c r="DB250" s="7"/>
      <c r="DC250" s="7"/>
      <c r="DD250" s="7"/>
      <c r="DE250" s="7"/>
      <c r="DF250" s="7"/>
      <c r="DG250" s="7"/>
      <c r="DH250" s="7"/>
      <c r="DI250" s="7"/>
      <c r="DJ250" s="7"/>
      <c r="DK250" s="7"/>
      <c r="DL250" s="7"/>
      <c r="DM250" s="7"/>
      <c r="DN250" s="7"/>
      <c r="DO250" s="7"/>
      <c r="DP250" s="7"/>
      <c r="DQ250" s="7"/>
      <c r="DR250" s="7"/>
      <c r="DS250" s="7"/>
      <c r="DT250" s="7"/>
      <c r="DU250" s="7"/>
      <c r="DV250" s="7"/>
      <c r="DW250" s="7"/>
      <c r="DX250" s="7"/>
      <c r="DY250" s="7"/>
      <c r="DZ250" s="7"/>
      <c r="EA250" s="7"/>
    </row>
    <row r="251" spans="1:131">
      <c r="A251" s="7" t="s">
        <v>483</v>
      </c>
      <c r="B251" s="7"/>
      <c r="C251" s="35">
        <v>1009.2424439729974</v>
      </c>
      <c r="D251" s="35">
        <v>724.5875237038573</v>
      </c>
      <c r="E251" s="35">
        <v>144.91750474077148</v>
      </c>
      <c r="F251" s="35">
        <v>869.50502844462881</v>
      </c>
      <c r="G251" s="35">
        <v>1147.7784165052387</v>
      </c>
      <c r="H251" s="35">
        <v>691.67656401792806</v>
      </c>
      <c r="I251" s="35">
        <v>7547.1103050227439</v>
      </c>
      <c r="J251" s="35">
        <v>32.809552644871076</v>
      </c>
      <c r="K251" s="35">
        <v>71.047447426738415</v>
      </c>
      <c r="L251" s="107">
        <v>0.60262203407165316</v>
      </c>
      <c r="M251" s="35">
        <v>9.5879180496686303</v>
      </c>
      <c r="N251" s="35">
        <v>0.22459116393548048</v>
      </c>
      <c r="O251" s="35">
        <v>50.234325751920103</v>
      </c>
      <c r="P251" s="35">
        <v>44.409928196520703</v>
      </c>
      <c r="Q251" s="35">
        <v>54.141618061593178</v>
      </c>
      <c r="R251" s="35">
        <v>56.216388345206006</v>
      </c>
      <c r="S251" s="35">
        <v>64.338645698132723</v>
      </c>
      <c r="T251" s="35">
        <v>72.164140890073469</v>
      </c>
      <c r="U251" s="35">
        <v>60.608185692620822</v>
      </c>
      <c r="V251" s="35">
        <v>64.732616985313385</v>
      </c>
      <c r="W251" s="35">
        <v>57.791350895219111</v>
      </c>
      <c r="X251" s="35">
        <v>62.633926445036863</v>
      </c>
      <c r="Y251" s="35">
        <v>58.196381121010731</v>
      </c>
      <c r="Z251" s="35">
        <v>51.974809966459198</v>
      </c>
      <c r="AA251" s="35"/>
      <c r="AB251" s="35">
        <v>22.532768711463049</v>
      </c>
      <c r="AC251" s="35">
        <v>18.599157647370813</v>
      </c>
      <c r="AD251" s="35">
        <v>19.68136827353521</v>
      </c>
      <c r="AE251" s="35">
        <v>25.299916141454915</v>
      </c>
      <c r="AF251" s="35">
        <v>31.602315175484375</v>
      </c>
      <c r="AG251" s="35">
        <v>28.807546416261605</v>
      </c>
      <c r="AH251" s="35">
        <v>32.31888483724957</v>
      </c>
      <c r="AI251" s="35">
        <v>24.171553122207147</v>
      </c>
      <c r="AJ251" s="35">
        <v>30.540422906779348</v>
      </c>
      <c r="AK251" s="35">
        <v>25.106241076682473</v>
      </c>
      <c r="AL251" s="35">
        <v>30.602947645900013</v>
      </c>
      <c r="AM251" s="29">
        <v>22.537003969502422</v>
      </c>
      <c r="AN251" s="29"/>
      <c r="AO251" s="29"/>
      <c r="AP251" s="29"/>
      <c r="AQ251" s="29"/>
      <c r="AR251" s="29"/>
      <c r="AS251" s="107"/>
      <c r="AT251" s="29"/>
      <c r="AU251" s="29"/>
      <c r="AV251" s="29"/>
      <c r="AW251" s="29"/>
      <c r="AX251" s="29"/>
      <c r="AY251" s="29"/>
      <c r="AZ251" s="107"/>
      <c r="BA251" s="29"/>
      <c r="BB251" s="29"/>
      <c r="BC251" s="29"/>
      <c r="BD251" s="29"/>
      <c r="BE251" s="29"/>
      <c r="BF251" s="29"/>
      <c r="BG251" s="29"/>
      <c r="BH251" s="107"/>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107"/>
      <c r="CE251" s="29"/>
      <c r="CF251" s="29"/>
      <c r="CG251" s="29"/>
      <c r="CH251" s="29"/>
      <c r="CI251" s="29"/>
      <c r="CJ251" s="29"/>
      <c r="CK251" s="29"/>
      <c r="CL251" s="29"/>
      <c r="CM251" s="29"/>
      <c r="CN251" s="29"/>
      <c r="CO251" s="29"/>
      <c r="CP251" s="29"/>
      <c r="CQ251" s="29"/>
      <c r="CR251" s="29"/>
      <c r="CS251" s="29"/>
      <c r="CT251" s="29"/>
      <c r="CU251" s="29"/>
      <c r="CV251" s="29"/>
      <c r="CW251" s="107"/>
      <c r="CX251" s="7"/>
      <c r="CY251" s="7"/>
      <c r="CZ251" s="7"/>
      <c r="DA251" s="7"/>
      <c r="DB251" s="7"/>
      <c r="DC251" s="7"/>
      <c r="DD251" s="7"/>
      <c r="DE251" s="7"/>
      <c r="DF251" s="7"/>
      <c r="DG251" s="7"/>
      <c r="DH251" s="7"/>
      <c r="DI251" s="7"/>
      <c r="DJ251" s="7"/>
      <c r="DK251" s="7"/>
      <c r="DL251" s="7"/>
      <c r="DM251" s="7"/>
      <c r="DN251" s="7"/>
      <c r="DO251" s="7"/>
      <c r="DP251" s="7"/>
      <c r="DQ251" s="7"/>
      <c r="DR251" s="7"/>
      <c r="DS251" s="7"/>
      <c r="DT251" s="7"/>
      <c r="DU251" s="7"/>
      <c r="DV251" s="7"/>
      <c r="DW251" s="7"/>
      <c r="DX251" s="7"/>
      <c r="DY251" s="7"/>
      <c r="DZ251" s="7"/>
      <c r="EA251" s="7"/>
    </row>
    <row r="252" spans="1:131">
      <c r="A252" s="7" t="s">
        <v>488</v>
      </c>
      <c r="B252" s="7"/>
      <c r="C252" s="35">
        <v>1038.3745091059893</v>
      </c>
      <c r="D252" s="35">
        <v>724.5875237038573</v>
      </c>
      <c r="E252" s="35">
        <v>144.91750474077148</v>
      </c>
      <c r="F252" s="35">
        <v>869.50502844462881</v>
      </c>
      <c r="G252" s="35">
        <v>1147.7784165052387</v>
      </c>
      <c r="H252" s="35">
        <v>542.47609236135418</v>
      </c>
      <c r="I252" s="35">
        <v>7335.3727218639542</v>
      </c>
      <c r="J252" s="35">
        <v>34.213434290675067</v>
      </c>
      <c r="K252" s="35">
        <v>80.520363180245837</v>
      </c>
      <c r="L252" s="107">
        <v>0.52591728988861597</v>
      </c>
      <c r="M252" s="35">
        <v>9.7996787871136508</v>
      </c>
      <c r="N252" s="35">
        <v>0.18208105295500426</v>
      </c>
      <c r="O252" s="35">
        <v>34.977131022224988</v>
      </c>
      <c r="P252" s="35">
        <v>33.806910881646338</v>
      </c>
      <c r="Q252" s="35">
        <v>50.722527507709643</v>
      </c>
      <c r="R252" s="35">
        <v>55.600339557692742</v>
      </c>
      <c r="S252" s="35">
        <v>79.98917006781069</v>
      </c>
      <c r="T252" s="35">
        <v>95.702179821828977</v>
      </c>
      <c r="U252" s="35">
        <v>81.237480026984386</v>
      </c>
      <c r="V252" s="35">
        <v>86.845812806063719</v>
      </c>
      <c r="W252" s="35">
        <v>74.607492615127285</v>
      </c>
      <c r="X252" s="35">
        <v>73.163604088122753</v>
      </c>
      <c r="Y252" s="35">
        <v>57.197757271584415</v>
      </c>
      <c r="Z252" s="35">
        <v>32.843318389286459</v>
      </c>
      <c r="AA252" s="35"/>
      <c r="AB252" s="35">
        <v>3.6706311802732134</v>
      </c>
      <c r="AC252" s="35">
        <v>4.8520653792978647</v>
      </c>
      <c r="AD252" s="35">
        <v>10.679555858915515</v>
      </c>
      <c r="AE252" s="35">
        <v>19.034865685269725</v>
      </c>
      <c r="AF252" s="35">
        <v>37.930272977697406</v>
      </c>
      <c r="AG252" s="35">
        <v>37.723659187225685</v>
      </c>
      <c r="AH252" s="35">
        <v>43.164513320441429</v>
      </c>
      <c r="AI252" s="35">
        <v>32.25155285826618</v>
      </c>
      <c r="AJ252" s="35">
        <v>38.650686950620631</v>
      </c>
      <c r="AK252" s="35">
        <v>26.748041987506941</v>
      </c>
      <c r="AL252" s="35">
        <v>25.130145209231806</v>
      </c>
      <c r="AM252" s="29">
        <v>1.844794455160186</v>
      </c>
      <c r="AN252" s="29"/>
      <c r="AO252" s="29"/>
      <c r="AP252" s="29"/>
      <c r="AQ252" s="29"/>
      <c r="AR252" s="29"/>
      <c r="AS252" s="107"/>
      <c r="AT252" s="29"/>
      <c r="AU252" s="29"/>
      <c r="AV252" s="29"/>
      <c r="AW252" s="29"/>
      <c r="AX252" s="29"/>
      <c r="AY252" s="29"/>
      <c r="AZ252" s="107"/>
      <c r="BA252" s="29"/>
      <c r="BB252" s="29"/>
      <c r="BC252" s="29"/>
      <c r="BD252" s="29"/>
      <c r="BE252" s="29"/>
      <c r="BF252" s="29"/>
      <c r="BG252" s="29"/>
      <c r="BH252" s="107"/>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107"/>
      <c r="CE252" s="29"/>
      <c r="CF252" s="29"/>
      <c r="CG252" s="29"/>
      <c r="CH252" s="29"/>
      <c r="CI252" s="29"/>
      <c r="CJ252" s="29"/>
      <c r="CK252" s="29"/>
      <c r="CL252" s="29"/>
      <c r="CM252" s="29"/>
      <c r="CN252" s="29"/>
      <c r="CO252" s="29"/>
      <c r="CP252" s="29"/>
      <c r="CQ252" s="29"/>
      <c r="CR252" s="29"/>
      <c r="CS252" s="29"/>
      <c r="CT252" s="29"/>
      <c r="CU252" s="29"/>
      <c r="CV252" s="29"/>
      <c r="CW252" s="107"/>
      <c r="CX252" s="7"/>
      <c r="CY252" s="7"/>
      <c r="CZ252" s="7"/>
      <c r="DA252" s="7"/>
      <c r="DB252" s="7"/>
      <c r="DC252" s="7"/>
      <c r="DD252" s="7"/>
      <c r="DE252" s="7"/>
      <c r="DF252" s="7"/>
      <c r="DG252" s="7"/>
      <c r="DH252" s="7"/>
      <c r="DI252" s="7"/>
      <c r="DJ252" s="7"/>
      <c r="DK252" s="7"/>
      <c r="DL252" s="7"/>
      <c r="DM252" s="7"/>
      <c r="DN252" s="7"/>
      <c r="DO252" s="7"/>
      <c r="DP252" s="7"/>
      <c r="DQ252" s="7"/>
      <c r="DR252" s="7"/>
      <c r="DS252" s="7"/>
      <c r="DT252" s="7"/>
      <c r="DU252" s="7"/>
      <c r="DV252" s="7"/>
      <c r="DW252" s="7"/>
      <c r="DX252" s="7"/>
      <c r="DY252" s="7"/>
      <c r="DZ252" s="7"/>
      <c r="EA252" s="7"/>
    </row>
    <row r="253" spans="1:131">
      <c r="A253" s="7" t="s">
        <v>476</v>
      </c>
      <c r="B253" s="7"/>
      <c r="C253" s="35">
        <v>1026.0267452906901</v>
      </c>
      <c r="D253" s="35">
        <v>724.58752370386082</v>
      </c>
      <c r="E253" s="35">
        <v>144.91750474077216</v>
      </c>
      <c r="F253" s="35">
        <v>869.50502844463301</v>
      </c>
      <c r="G253" s="35">
        <v>1147.7784165052444</v>
      </c>
      <c r="H253" s="35">
        <v>531.58334220922734</v>
      </c>
      <c r="I253" s="35">
        <v>7423.650586239839</v>
      </c>
      <c r="J253" s="35">
        <v>34.804671829654012</v>
      </c>
      <c r="K253" s="35">
        <v>81.814022161149751</v>
      </c>
      <c r="L253" s="107">
        <v>0.51814968465079869</v>
      </c>
      <c r="M253" s="35">
        <v>9.6748371976782881</v>
      </c>
      <c r="N253" s="35">
        <v>0.1788373356834887</v>
      </c>
      <c r="O253" s="35">
        <v>34.193416638527893</v>
      </c>
      <c r="P253" s="35">
        <v>33.143268270888505</v>
      </c>
      <c r="Q253" s="35">
        <v>50.009694204389355</v>
      </c>
      <c r="R253" s="35">
        <v>54.889888728679303</v>
      </c>
      <c r="S253" s="35">
        <v>79.341625708320322</v>
      </c>
      <c r="T253" s="35">
        <v>95.036445240967083</v>
      </c>
      <c r="U253" s="35">
        <v>80.687062580798468</v>
      </c>
      <c r="V253" s="35">
        <v>86.258749458346529</v>
      </c>
      <c r="W253" s="35">
        <v>74.053763908369731</v>
      </c>
      <c r="X253" s="35">
        <v>72.485580477409869</v>
      </c>
      <c r="Y253" s="35">
        <v>56.458630855903763</v>
      </c>
      <c r="Z253" s="35">
        <v>31.998584937939611</v>
      </c>
      <c r="AA253" s="35"/>
      <c r="AB253" s="35">
        <v>3.1974406313049721</v>
      </c>
      <c r="AC253" s="35">
        <v>4.4799259586474962</v>
      </c>
      <c r="AD253" s="35">
        <v>10.341892222121775</v>
      </c>
      <c r="AE253" s="35">
        <v>18.654521206408294</v>
      </c>
      <c r="AF253" s="35">
        <v>37.59844766787343</v>
      </c>
      <c r="AG253" s="35">
        <v>37.453041289868231</v>
      </c>
      <c r="AH253" s="35">
        <v>42.869440242724785</v>
      </c>
      <c r="AI253" s="35">
        <v>32.030546156708972</v>
      </c>
      <c r="AJ253" s="35">
        <v>38.350204617460349</v>
      </c>
      <c r="AK253" s="35">
        <v>26.450158080817683</v>
      </c>
      <c r="AL253" s="35">
        <v>24.691389637115709</v>
      </c>
      <c r="AM253" s="29">
        <v>1.3530265690975645</v>
      </c>
      <c r="AN253" s="29"/>
      <c r="AO253" s="29"/>
      <c r="AP253" s="29"/>
      <c r="AQ253" s="29"/>
      <c r="AR253" s="29"/>
      <c r="AS253" s="107"/>
      <c r="AT253" s="29"/>
      <c r="AU253" s="29"/>
      <c r="AV253" s="29"/>
      <c r="AW253" s="29"/>
      <c r="AX253" s="29"/>
      <c r="AY253" s="29"/>
      <c r="AZ253" s="107"/>
      <c r="BA253" s="29"/>
      <c r="BB253" s="29"/>
      <c r="BC253" s="29"/>
      <c r="BD253" s="29"/>
      <c r="BE253" s="29"/>
      <c r="BF253" s="29"/>
      <c r="BG253" s="29"/>
      <c r="BH253" s="107"/>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107"/>
      <c r="CE253" s="29"/>
      <c r="CF253" s="29"/>
      <c r="CG253" s="29"/>
      <c r="CH253" s="29"/>
      <c r="CI253" s="29"/>
      <c r="CJ253" s="29"/>
      <c r="CK253" s="29"/>
      <c r="CL253" s="29"/>
      <c r="CM253" s="29"/>
      <c r="CN253" s="29"/>
      <c r="CO253" s="29"/>
      <c r="CP253" s="29"/>
      <c r="CQ253" s="29"/>
      <c r="CR253" s="29"/>
      <c r="CS253" s="29"/>
      <c r="CT253" s="29"/>
      <c r="CU253" s="29"/>
      <c r="CV253" s="29"/>
      <c r="CW253" s="107"/>
      <c r="CX253" s="7"/>
      <c r="CY253" s="7"/>
      <c r="CZ253" s="7"/>
      <c r="DA253" s="7"/>
      <c r="DB253" s="7"/>
      <c r="DC253" s="7"/>
      <c r="DD253" s="7"/>
      <c r="DE253" s="7"/>
      <c r="DF253" s="7"/>
      <c r="DG253" s="7"/>
      <c r="DH253" s="7"/>
      <c r="DI253" s="7"/>
      <c r="DJ253" s="7"/>
      <c r="DK253" s="7"/>
      <c r="DL253" s="7"/>
      <c r="DM253" s="7"/>
      <c r="DN253" s="7"/>
      <c r="DO253" s="7"/>
      <c r="DP253" s="7"/>
      <c r="DQ253" s="7"/>
      <c r="DR253" s="7"/>
      <c r="DS253" s="7"/>
      <c r="DT253" s="7"/>
      <c r="DU253" s="7"/>
      <c r="DV253" s="7"/>
      <c r="DW253" s="7"/>
      <c r="DX253" s="7"/>
      <c r="DY253" s="7"/>
      <c r="DZ253" s="7"/>
      <c r="EA253" s="7"/>
    </row>
    <row r="254" spans="1:131">
      <c r="A254" s="7" t="s">
        <v>486</v>
      </c>
      <c r="B254" s="7"/>
      <c r="C254" s="35">
        <v>998.36291367990407</v>
      </c>
      <c r="D254" s="35">
        <v>724.5875237038573</v>
      </c>
      <c r="E254" s="35">
        <v>144.91750474077148</v>
      </c>
      <c r="F254" s="35">
        <v>869.50502844462881</v>
      </c>
      <c r="G254" s="35">
        <v>1147.7784165052387</v>
      </c>
      <c r="H254" s="35">
        <v>449.63712360810155</v>
      </c>
      <c r="I254" s="35">
        <v>7629.3539601743196</v>
      </c>
      <c r="J254" s="35">
        <v>39.570649460063585</v>
      </c>
      <c r="K254" s="35">
        <v>88.894732127246641</v>
      </c>
      <c r="L254" s="107">
        <v>0.45986995060012836</v>
      </c>
      <c r="M254" s="35">
        <v>9.4116997969635321</v>
      </c>
      <c r="N254" s="35">
        <v>0.11198994195198492</v>
      </c>
      <c r="O254" s="35">
        <v>27.090454483102757</v>
      </c>
      <c r="P254" s="35">
        <v>30.260429682034751</v>
      </c>
      <c r="Q254" s="35">
        <v>46.221723760706858</v>
      </c>
      <c r="R254" s="35">
        <v>54.387511169452907</v>
      </c>
      <c r="S254" s="35">
        <v>78.106487441246813</v>
      </c>
      <c r="T254" s="35">
        <v>95.121342460702607</v>
      </c>
      <c r="U254" s="35">
        <v>81.375316149205062</v>
      </c>
      <c r="V254" s="35">
        <v>87.050964563289284</v>
      </c>
      <c r="W254" s="35">
        <v>73.331180053190351</v>
      </c>
      <c r="X254" s="35">
        <v>68.095568883146186</v>
      </c>
      <c r="Y254" s="35">
        <v>52.419995974689186</v>
      </c>
      <c r="Z254" s="35">
        <v>22.686449061177232</v>
      </c>
      <c r="AA254" s="35"/>
      <c r="AB254" s="35">
        <v>4.5071029228739778</v>
      </c>
      <c r="AC254" s="35">
        <v>5.7005570953532034</v>
      </c>
      <c r="AD254" s="35">
        <v>11.549997896392105</v>
      </c>
      <c r="AE254" s="35">
        <v>21.29626434737694</v>
      </c>
      <c r="AF254" s="35">
        <v>37.669088075965071</v>
      </c>
      <c r="AG254" s="35">
        <v>37.706123272775855</v>
      </c>
      <c r="AH254" s="35">
        <v>43.37686410932703</v>
      </c>
      <c r="AI254" s="35">
        <v>32.468810817881561</v>
      </c>
      <c r="AJ254" s="35">
        <v>38.530930319561165</v>
      </c>
      <c r="AK254" s="35">
        <v>25.387868137651569</v>
      </c>
      <c r="AL254" s="35">
        <v>24.187963074863529</v>
      </c>
      <c r="AM254" s="29">
        <v>-0.16608007206226946</v>
      </c>
      <c r="AN254" s="29"/>
      <c r="AO254" s="29"/>
      <c r="AP254" s="29"/>
      <c r="AQ254" s="29"/>
      <c r="AR254" s="29"/>
      <c r="AS254" s="107"/>
      <c r="AT254" s="29"/>
      <c r="AU254" s="29"/>
      <c r="AV254" s="29"/>
      <c r="AW254" s="29"/>
      <c r="AX254" s="29"/>
      <c r="AY254" s="29"/>
      <c r="AZ254" s="107"/>
      <c r="BA254" s="29"/>
      <c r="BB254" s="29"/>
      <c r="BC254" s="29"/>
      <c r="BD254" s="29"/>
      <c r="BE254" s="29"/>
      <c r="BF254" s="29"/>
      <c r="BG254" s="29"/>
      <c r="BH254" s="107"/>
      <c r="BI254" s="29"/>
      <c r="BJ254" s="29"/>
      <c r="BK254" s="29"/>
      <c r="BL254" s="29"/>
      <c r="BM254" s="29"/>
      <c r="BN254" s="29"/>
      <c r="BO254" s="29"/>
      <c r="BP254" s="29"/>
      <c r="BQ254" s="29"/>
      <c r="BR254" s="29"/>
      <c r="BS254" s="29"/>
      <c r="BT254" s="29"/>
      <c r="BU254" s="29"/>
      <c r="BV254" s="29"/>
      <c r="BW254" s="29"/>
      <c r="BX254" s="29"/>
      <c r="BY254" s="29"/>
      <c r="BZ254" s="29"/>
      <c r="CA254" s="29"/>
      <c r="CB254" s="29"/>
      <c r="CC254" s="29"/>
      <c r="CD254" s="107"/>
      <c r="CE254" s="29"/>
      <c r="CF254" s="29"/>
      <c r="CG254" s="29"/>
      <c r="CH254" s="29"/>
      <c r="CI254" s="29"/>
      <c r="CJ254" s="29"/>
      <c r="CK254" s="29"/>
      <c r="CL254" s="29"/>
      <c r="CM254" s="29"/>
      <c r="CN254" s="29"/>
      <c r="CO254" s="29"/>
      <c r="CP254" s="29"/>
      <c r="CQ254" s="29"/>
      <c r="CR254" s="29"/>
      <c r="CS254" s="29"/>
      <c r="CT254" s="29"/>
      <c r="CU254" s="29"/>
      <c r="CV254" s="29"/>
      <c r="CW254" s="10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row>
    <row r="255" spans="1:131">
      <c r="A255" s="7" t="s">
        <v>474</v>
      </c>
      <c r="B255" s="7"/>
      <c r="C255" s="35">
        <v>985.78061802533921</v>
      </c>
      <c r="D255" s="35">
        <v>724.58752370386082</v>
      </c>
      <c r="E255" s="35">
        <v>144.91750474077216</v>
      </c>
      <c r="F255" s="35">
        <v>869.50502844463301</v>
      </c>
      <c r="G255" s="35">
        <v>1147.7784165052444</v>
      </c>
      <c r="H255" s="35">
        <v>437.9668020622575</v>
      </c>
      <c r="I255" s="35">
        <v>7726.7334231349187</v>
      </c>
      <c r="J255" s="35">
        <v>40.297585912115409</v>
      </c>
      <c r="K255" s="35">
        <v>90.414656755049762</v>
      </c>
      <c r="L255" s="107">
        <v>0.45176963271878157</v>
      </c>
      <c r="M255" s="35">
        <v>9.2837411998290538</v>
      </c>
      <c r="N255" s="35">
        <v>0.10813779899635631</v>
      </c>
      <c r="O255" s="35">
        <v>26.248341801449509</v>
      </c>
      <c r="P255" s="35">
        <v>29.576221050421928</v>
      </c>
      <c r="Q255" s="35">
        <v>45.476679961062153</v>
      </c>
      <c r="R255" s="35">
        <v>53.674979923464861</v>
      </c>
      <c r="S255" s="35">
        <v>77.442470156381376</v>
      </c>
      <c r="T255" s="35">
        <v>94.448322198690832</v>
      </c>
      <c r="U255" s="35">
        <v>80.824261469779458</v>
      </c>
      <c r="V255" s="35">
        <v>86.463728006887962</v>
      </c>
      <c r="W255" s="35">
        <v>72.765035708257329</v>
      </c>
      <c r="X255" s="35">
        <v>67.373310126020826</v>
      </c>
      <c r="Y255" s="35">
        <v>51.64528769125814</v>
      </c>
      <c r="Z255" s="35">
        <v>21.764140901892993</v>
      </c>
      <c r="AA255" s="35"/>
      <c r="AB255" s="35">
        <v>4.0563714093979382</v>
      </c>
      <c r="AC255" s="35">
        <v>5.3474214159402713</v>
      </c>
      <c r="AD255" s="35">
        <v>11.229005594546122</v>
      </c>
      <c r="AE255" s="35">
        <v>20.945220644013961</v>
      </c>
      <c r="AF255" s="35">
        <v>37.336286753053059</v>
      </c>
      <c r="AG255" s="35">
        <v>37.43491872840292</v>
      </c>
      <c r="AH255" s="35">
        <v>43.082865834269555</v>
      </c>
      <c r="AI255" s="35">
        <v>32.249184087788024</v>
      </c>
      <c r="AJ255" s="35">
        <v>38.229628795235804</v>
      </c>
      <c r="AK255" s="35">
        <v>25.080140703318449</v>
      </c>
      <c r="AL255" s="35">
        <v>23.748325337627794</v>
      </c>
      <c r="AM255" s="29">
        <v>-0.6615302738223553</v>
      </c>
      <c r="AN255" s="29"/>
      <c r="AO255" s="29"/>
      <c r="AP255" s="29"/>
      <c r="AQ255" s="29"/>
      <c r="AR255" s="29"/>
      <c r="AS255" s="107"/>
      <c r="AT255" s="29"/>
      <c r="AU255" s="29"/>
      <c r="AV255" s="29"/>
      <c r="AW255" s="29"/>
      <c r="AX255" s="29"/>
      <c r="AY255" s="29"/>
      <c r="AZ255" s="107"/>
      <c r="BA255" s="29"/>
      <c r="BB255" s="29"/>
      <c r="BC255" s="29"/>
      <c r="BD255" s="29"/>
      <c r="BE255" s="29"/>
      <c r="BF255" s="29"/>
      <c r="BG255" s="29"/>
      <c r="BH255" s="107"/>
      <c r="BI255" s="29"/>
      <c r="BJ255" s="29"/>
      <c r="BK255" s="29"/>
      <c r="BL255" s="29"/>
      <c r="BM255" s="29"/>
      <c r="BN255" s="29"/>
      <c r="BO255" s="29"/>
      <c r="BP255" s="29"/>
      <c r="BQ255" s="29"/>
      <c r="BR255" s="29"/>
      <c r="BS255" s="29"/>
      <c r="BT255" s="29"/>
      <c r="BU255" s="29"/>
      <c r="BV255" s="29"/>
      <c r="BW255" s="29"/>
      <c r="BX255" s="29"/>
      <c r="BY255" s="29"/>
      <c r="BZ255" s="29"/>
      <c r="CA255" s="29"/>
      <c r="CB255" s="29"/>
      <c r="CC255" s="29"/>
      <c r="CD255" s="107"/>
      <c r="CE255" s="29"/>
      <c r="CF255" s="29"/>
      <c r="CG255" s="29"/>
      <c r="CH255" s="29"/>
      <c r="CI255" s="29"/>
      <c r="CJ255" s="29"/>
      <c r="CK255" s="29"/>
      <c r="CL255" s="29"/>
      <c r="CM255" s="29"/>
      <c r="CN255" s="29"/>
      <c r="CO255" s="29"/>
      <c r="CP255" s="29"/>
      <c r="CQ255" s="29"/>
      <c r="CR255" s="29"/>
      <c r="CS255" s="29"/>
      <c r="CT255" s="29"/>
      <c r="CU255" s="29"/>
      <c r="CV255" s="29"/>
      <c r="CW255" s="10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row>
    <row r="256" spans="1:131">
      <c r="A256" s="7" t="s">
        <v>496</v>
      </c>
      <c r="B256" s="7"/>
      <c r="C256" s="35">
        <v>317.07386640893014</v>
      </c>
      <c r="D256" s="35">
        <v>1183.5005381933265</v>
      </c>
      <c r="E256" s="35">
        <v>236.70010763866532</v>
      </c>
      <c r="F256" s="35">
        <v>1420.2006458319918</v>
      </c>
      <c r="G256" s="35">
        <v>1874.7167584627332</v>
      </c>
      <c r="H256" s="35">
        <v>217.30414170881008</v>
      </c>
      <c r="I256" s="35">
        <v>39236.780370423672</v>
      </c>
      <c r="J256" s="35">
        <v>223.62595365823842</v>
      </c>
      <c r="K256" s="35">
        <v>422.42149509679393</v>
      </c>
      <c r="L256" s="107">
        <v>0.11591305231996718</v>
      </c>
      <c r="M256" s="35">
        <v>3.0122378076530074</v>
      </c>
      <c r="N256" s="35">
        <v>7.0559843897636976E-2</v>
      </c>
      <c r="O256" s="35">
        <v>15.782126562784688</v>
      </c>
      <c r="P256" s="35">
        <v>13.952274476831256</v>
      </c>
      <c r="Q256" s="35">
        <v>17.009680901026879</v>
      </c>
      <c r="R256" s="35">
        <v>17.66151174182901</v>
      </c>
      <c r="S256" s="35">
        <v>20.213282520921691</v>
      </c>
      <c r="T256" s="35">
        <v>22.671819437326988</v>
      </c>
      <c r="U256" s="35">
        <v>19.041284959685882</v>
      </c>
      <c r="V256" s="35">
        <v>20.337058169953124</v>
      </c>
      <c r="W256" s="35">
        <v>18.156318403870539</v>
      </c>
      <c r="X256" s="35">
        <v>19.677710652405072</v>
      </c>
      <c r="Y256" s="35">
        <v>18.283566411873121</v>
      </c>
      <c r="Z256" s="35">
        <v>16.328934888659941</v>
      </c>
      <c r="AA256" s="35"/>
      <c r="AB256" s="35">
        <v>7.0791238865912787</v>
      </c>
      <c r="AC256" s="35">
        <v>5.8433005707500358</v>
      </c>
      <c r="AD256" s="35">
        <v>6.1832987588485828</v>
      </c>
      <c r="AE256" s="35">
        <v>7.9484787662120802</v>
      </c>
      <c r="AF256" s="35">
        <v>9.9285043341848311</v>
      </c>
      <c r="AG256" s="35">
        <v>9.0504713187302794</v>
      </c>
      <c r="AH256" s="35">
        <v>10.153629614895326</v>
      </c>
      <c r="AI256" s="35">
        <v>7.5939809631929096</v>
      </c>
      <c r="AJ256" s="35">
        <v>9.5948896602107876</v>
      </c>
      <c r="AK256" s="35">
        <v>7.8876317861059704</v>
      </c>
      <c r="AL256" s="35">
        <v>9.6145330494455212</v>
      </c>
      <c r="AM256" s="29">
        <v>7.080454572594256</v>
      </c>
      <c r="AN256" s="29"/>
      <c r="AO256" s="29"/>
      <c r="AP256" s="29"/>
      <c r="AQ256" s="29"/>
      <c r="AR256" s="29"/>
      <c r="AS256" s="107"/>
      <c r="AT256" s="29"/>
      <c r="AU256" s="29"/>
      <c r="AV256" s="29"/>
      <c r="AW256" s="29"/>
      <c r="AX256" s="29"/>
      <c r="AY256" s="29"/>
      <c r="AZ256" s="107"/>
      <c r="BA256" s="29"/>
      <c r="BB256" s="29"/>
      <c r="BC256" s="29"/>
      <c r="BD256" s="29"/>
      <c r="BE256" s="29"/>
      <c r="BF256" s="29"/>
      <c r="BG256" s="29"/>
      <c r="BH256" s="107"/>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107"/>
      <c r="CE256" s="29"/>
      <c r="CF256" s="29"/>
      <c r="CG256" s="29"/>
      <c r="CH256" s="29"/>
      <c r="CI256" s="29"/>
      <c r="CJ256" s="29"/>
      <c r="CK256" s="29"/>
      <c r="CL256" s="29"/>
      <c r="CM256" s="29"/>
      <c r="CN256" s="29"/>
      <c r="CO256" s="29"/>
      <c r="CP256" s="29"/>
      <c r="CQ256" s="29"/>
      <c r="CR256" s="29"/>
      <c r="CS256" s="29"/>
      <c r="CT256" s="29"/>
      <c r="CU256" s="29"/>
      <c r="CV256" s="29"/>
      <c r="CW256" s="107"/>
      <c r="CX256" s="7"/>
      <c r="CY256" s="7"/>
      <c r="CZ256" s="7"/>
      <c r="DA256" s="7"/>
      <c r="DB256" s="7"/>
      <c r="DC256" s="7"/>
      <c r="DD256" s="7"/>
      <c r="DE256" s="7"/>
      <c r="DF256" s="7"/>
      <c r="DG256" s="7"/>
      <c r="DH256" s="7"/>
      <c r="DI256" s="7"/>
      <c r="DJ256" s="7"/>
      <c r="DK256" s="7"/>
      <c r="DL256" s="7"/>
      <c r="DM256" s="7"/>
      <c r="DN256" s="7"/>
      <c r="DO256" s="7"/>
      <c r="DP256" s="7"/>
      <c r="DQ256" s="7"/>
      <c r="DR256" s="7"/>
      <c r="DS256" s="7"/>
      <c r="DT256" s="7"/>
      <c r="DU256" s="7"/>
      <c r="DV256" s="7"/>
      <c r="DW256" s="7"/>
      <c r="DX256" s="7"/>
      <c r="DY256" s="7"/>
      <c r="DZ256" s="7"/>
      <c r="EA256" s="7"/>
    </row>
    <row r="257" spans="1:131">
      <c r="A257" s="7" t="s">
        <v>477</v>
      </c>
      <c r="B257" s="7"/>
      <c r="C257" s="35">
        <v>203.91805256806657</v>
      </c>
      <c r="D257" s="35">
        <v>1183.5005381933324</v>
      </c>
      <c r="E257" s="35">
        <v>236.70010763866651</v>
      </c>
      <c r="F257" s="35">
        <v>1420.2006458319988</v>
      </c>
      <c r="G257" s="35">
        <v>1874.7167584627423</v>
      </c>
      <c r="H257" s="35">
        <v>139.75367183673154</v>
      </c>
      <c r="I257" s="35">
        <v>61009.594299335498</v>
      </c>
      <c r="J257" s="35">
        <v>354.72892819814319</v>
      </c>
      <c r="K257" s="35">
        <v>663.83775968690907</v>
      </c>
      <c r="L257" s="107">
        <v>7.4546552809038102E-2</v>
      </c>
      <c r="M257" s="35">
        <v>1.937244701260965</v>
      </c>
      <c r="N257" s="35">
        <v>4.5378780982980753E-2</v>
      </c>
      <c r="O257" s="35">
        <v>10.149876208402597</v>
      </c>
      <c r="P257" s="35">
        <v>8.9730530662691841</v>
      </c>
      <c r="Q257" s="35">
        <v>10.939346678109818</v>
      </c>
      <c r="R257" s="35">
        <v>11.358555273184523</v>
      </c>
      <c r="S257" s="35">
        <v>12.999662076586489</v>
      </c>
      <c r="T257" s="35">
        <v>14.580807939067002</v>
      </c>
      <c r="U257" s="35">
        <v>12.245922342862244</v>
      </c>
      <c r="V257" s="35">
        <v>13.079266144361652</v>
      </c>
      <c r="W257" s="35">
        <v>11.676777840264311</v>
      </c>
      <c r="X257" s="35">
        <v>12.655222505177912</v>
      </c>
      <c r="Y257" s="35">
        <v>11.758613934831045</v>
      </c>
      <c r="Z257" s="35">
        <v>10.501542185928354</v>
      </c>
      <c r="AA257" s="35"/>
      <c r="AB257" s="35">
        <v>4.5527600354564619</v>
      </c>
      <c r="AC257" s="35">
        <v>3.757971407101738</v>
      </c>
      <c r="AD257" s="35">
        <v>3.9766325891649101</v>
      </c>
      <c r="AE257" s="35">
        <v>5.1118635292260377</v>
      </c>
      <c r="AF257" s="35">
        <v>6.3852667796915084</v>
      </c>
      <c r="AG257" s="35">
        <v>5.8205819804113093</v>
      </c>
      <c r="AH257" s="35">
        <v>6.530050664295322</v>
      </c>
      <c r="AI257" s="35">
        <v>4.8838772046635963</v>
      </c>
      <c r="AJ257" s="35">
        <v>6.1707110230370699</v>
      </c>
      <c r="AK257" s="35">
        <v>5.072731167466987</v>
      </c>
      <c r="AL257" s="35">
        <v>6.1833441880137014</v>
      </c>
      <c r="AM257" s="29">
        <v>4.5536158044927753</v>
      </c>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29"/>
      <c r="CC257" s="29"/>
      <c r="CD257" s="29"/>
      <c r="CE257" s="29"/>
      <c r="CF257" s="29"/>
      <c r="CG257" s="29"/>
      <c r="CH257" s="29"/>
      <c r="CI257" s="29"/>
      <c r="CJ257" s="29"/>
      <c r="CK257" s="29"/>
      <c r="CL257" s="29"/>
      <c r="CM257" s="29"/>
      <c r="CN257" s="29"/>
      <c r="CO257" s="29"/>
      <c r="CP257" s="29"/>
      <c r="CQ257" s="29"/>
      <c r="CR257" s="29"/>
      <c r="CS257" s="29"/>
      <c r="CT257" s="29"/>
      <c r="CU257" s="29"/>
      <c r="CV257" s="29"/>
      <c r="CW257" s="29"/>
      <c r="CX257" s="7"/>
      <c r="CY257" s="7"/>
      <c r="CZ257" s="7"/>
      <c r="DA257" s="7"/>
      <c r="DB257" s="7"/>
      <c r="DC257" s="7"/>
      <c r="DD257" s="7"/>
      <c r="DE257" s="7"/>
      <c r="DF257" s="7"/>
      <c r="DG257" s="7"/>
      <c r="DH257" s="7"/>
      <c r="DI257" s="7"/>
      <c r="DJ257" s="7"/>
      <c r="DK257" s="7"/>
      <c r="DL257" s="7"/>
      <c r="DM257" s="7"/>
      <c r="DN257" s="7"/>
      <c r="DO257" s="7"/>
      <c r="DP257" s="7"/>
      <c r="DQ257" s="7"/>
      <c r="DR257" s="7"/>
      <c r="DS257" s="7"/>
      <c r="DT257" s="7"/>
      <c r="DU257" s="7"/>
      <c r="DV257" s="7"/>
      <c r="DW257" s="7"/>
      <c r="DX257" s="7"/>
      <c r="DY257" s="7"/>
      <c r="DZ257" s="7"/>
      <c r="EA257" s="7"/>
    </row>
    <row r="258" spans="1:131">
      <c r="A258" s="7" t="s">
        <v>490</v>
      </c>
      <c r="B258" s="7"/>
      <c r="C258" s="35">
        <v>87.931784673528639</v>
      </c>
      <c r="D258" s="35">
        <v>1183.5005381933265</v>
      </c>
      <c r="E258" s="35">
        <v>236.70010763866532</v>
      </c>
      <c r="F258" s="35">
        <v>1420.2006458319918</v>
      </c>
      <c r="G258" s="35">
        <v>1874.7167584627332</v>
      </c>
      <c r="H258" s="35">
        <v>-0.99215740914193518</v>
      </c>
      <c r="I258" s="35">
        <v>141484.19372674837</v>
      </c>
      <c r="J258" s="35">
        <v>839.09571307112856</v>
      </c>
      <c r="K258" s="35">
        <v>1607.3377066669348</v>
      </c>
      <c r="L258" s="107">
        <v>3.1214791058766782E-2</v>
      </c>
      <c r="M258" s="35">
        <v>0.44102085212427383</v>
      </c>
      <c r="N258" s="35">
        <v>1.988306430462353E-2</v>
      </c>
      <c r="O258" s="35">
        <v>4.4621170025817971</v>
      </c>
      <c r="P258" s="35">
        <v>3.9907241749174851</v>
      </c>
      <c r="Q258" s="35">
        <v>4.9331803476805884</v>
      </c>
      <c r="R258" s="35">
        <v>5.1317317668862552</v>
      </c>
      <c r="S258" s="35">
        <v>5.8494593362591569</v>
      </c>
      <c r="T258" s="35">
        <v>6.6138730218939665</v>
      </c>
      <c r="U258" s="35">
        <v>4.3320399221810888</v>
      </c>
      <c r="V258" s="35">
        <v>4.7183618942942491</v>
      </c>
      <c r="W258" s="35">
        <v>4.8718747688198523</v>
      </c>
      <c r="X258" s="35">
        <v>5.71219594383036</v>
      </c>
      <c r="Y258" s="35">
        <v>5.3225672232719363</v>
      </c>
      <c r="Z258" s="35">
        <v>4.5778048168534164</v>
      </c>
      <c r="AA258" s="35"/>
      <c r="AB258" s="35">
        <v>1.9458195138550061</v>
      </c>
      <c r="AC258" s="35">
        <v>1.6205552925196796</v>
      </c>
      <c r="AD258" s="35">
        <v>1.7550370151070496</v>
      </c>
      <c r="AE258" s="35">
        <v>2.2927856557601851</v>
      </c>
      <c r="AF258" s="35">
        <v>2.901995672882161</v>
      </c>
      <c r="AG258" s="35">
        <v>2.6742904686821758</v>
      </c>
      <c r="AH258" s="35">
        <v>2.6101601721770824</v>
      </c>
      <c r="AI258" s="35">
        <v>1.9818801233807122</v>
      </c>
      <c r="AJ258" s="35">
        <v>2.6627017597330278</v>
      </c>
      <c r="AK258" s="35">
        <v>2.2841789599926092</v>
      </c>
      <c r="AL258" s="35">
        <v>2.7743075044011234</v>
      </c>
      <c r="AM258" s="29">
        <v>1.91214231556765</v>
      </c>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29"/>
      <c r="CC258" s="29"/>
      <c r="CD258" s="29"/>
      <c r="CE258" s="29"/>
      <c r="CF258" s="29"/>
      <c r="CG258" s="29"/>
      <c r="CH258" s="29"/>
      <c r="CI258" s="29"/>
      <c r="CJ258" s="29"/>
      <c r="CK258" s="29"/>
      <c r="CL258" s="29"/>
      <c r="CM258" s="29"/>
      <c r="CN258" s="29"/>
      <c r="CO258" s="29"/>
      <c r="CP258" s="29"/>
      <c r="CQ258" s="29"/>
      <c r="CR258" s="29"/>
      <c r="CS258" s="29"/>
      <c r="CT258" s="29"/>
      <c r="CU258" s="29"/>
      <c r="CV258" s="29"/>
      <c r="CW258" s="29"/>
      <c r="CX258" s="7"/>
      <c r="CY258" s="7"/>
      <c r="CZ258" s="7"/>
      <c r="DA258" s="7"/>
      <c r="DB258" s="7"/>
      <c r="DC258" s="7"/>
      <c r="DD258" s="7"/>
      <c r="DE258" s="7"/>
      <c r="DF258" s="7"/>
      <c r="DG258" s="7"/>
      <c r="DH258" s="7"/>
      <c r="DI258" s="7"/>
      <c r="DJ258" s="7"/>
      <c r="DK258" s="7"/>
      <c r="DL258" s="7"/>
      <c r="DM258" s="7"/>
      <c r="DN258" s="7"/>
      <c r="DO258" s="7"/>
      <c r="DP258" s="7"/>
      <c r="DQ258" s="7"/>
      <c r="DR258" s="7"/>
      <c r="DS258" s="7"/>
      <c r="DT258" s="7"/>
      <c r="DU258" s="7"/>
      <c r="DV258" s="7"/>
      <c r="DW258" s="7"/>
      <c r="DX258" s="7"/>
      <c r="DY258" s="7"/>
      <c r="DZ258" s="7"/>
      <c r="EA258" s="7"/>
    </row>
    <row r="259" spans="1:131">
      <c r="A259" s="7" t="s">
        <v>479</v>
      </c>
      <c r="B259" s="7"/>
      <c r="C259" s="35">
        <v>86.718840456148499</v>
      </c>
      <c r="D259" s="35">
        <v>1183.5005381933324</v>
      </c>
      <c r="E259" s="35">
        <v>236.70010763866651</v>
      </c>
      <c r="F259" s="35">
        <v>1420.2006458319988</v>
      </c>
      <c r="G259" s="35">
        <v>1874.7167584627423</v>
      </c>
      <c r="H259" s="35">
        <v>-2.4198145071653059</v>
      </c>
      <c r="I259" s="35">
        <v>143463.14586366483</v>
      </c>
      <c r="J259" s="35">
        <v>850.99522739203019</v>
      </c>
      <c r="K259" s="35">
        <v>1630.5015291600657</v>
      </c>
      <c r="L259" s="107">
        <v>3.0783516634616242E-2</v>
      </c>
      <c r="M259" s="35">
        <v>0.42501121997490154</v>
      </c>
      <c r="N259" s="35">
        <v>1.9634090668074949E-2</v>
      </c>
      <c r="O259" s="35">
        <v>4.40652966169728</v>
      </c>
      <c r="P259" s="35">
        <v>3.9418928952139884</v>
      </c>
      <c r="Q259" s="35">
        <v>4.8741083159519221</v>
      </c>
      <c r="R259" s="35">
        <v>5.0698363499172565</v>
      </c>
      <c r="S259" s="35">
        <v>5.7761167701386666</v>
      </c>
      <c r="T259" s="35">
        <v>6.5319379527542214</v>
      </c>
      <c r="U259" s="35">
        <v>4.2341868208024973</v>
      </c>
      <c r="V259" s="35">
        <v>4.6159928614939272</v>
      </c>
      <c r="W259" s="35">
        <v>4.7965837919560901</v>
      </c>
      <c r="X259" s="35">
        <v>5.6421886398170855</v>
      </c>
      <c r="Y259" s="35">
        <v>5.2592060454350387</v>
      </c>
      <c r="Z259" s="35">
        <v>4.5200282348361904</v>
      </c>
      <c r="AA259" s="35"/>
      <c r="AB259" s="35">
        <v>1.920508909109689</v>
      </c>
      <c r="AC259" s="35">
        <v>1.5997608235075464</v>
      </c>
      <c r="AD259" s="35">
        <v>1.7333045190706449</v>
      </c>
      <c r="AE259" s="35">
        <v>2.264925158948274</v>
      </c>
      <c r="AF259" s="35">
        <v>2.8667361324749812</v>
      </c>
      <c r="AG259" s="35">
        <v>2.6424189964194382</v>
      </c>
      <c r="AH259" s="35">
        <v>2.5650657678398647</v>
      </c>
      <c r="AI259" s="35">
        <v>1.948851762212976</v>
      </c>
      <c r="AJ259" s="35">
        <v>2.625020074505314</v>
      </c>
      <c r="AK259" s="35">
        <v>2.2562211879938032</v>
      </c>
      <c r="AL259" s="35">
        <v>2.7408221713586327</v>
      </c>
      <c r="AM259" s="29">
        <v>1.8865966126931486</v>
      </c>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29"/>
      <c r="CC259" s="29"/>
      <c r="CD259" s="29"/>
      <c r="CE259" s="29"/>
      <c r="CF259" s="29"/>
      <c r="CG259" s="29"/>
      <c r="CH259" s="29"/>
      <c r="CI259" s="29"/>
      <c r="CJ259" s="29"/>
      <c r="CK259" s="29"/>
      <c r="CL259" s="29"/>
      <c r="CM259" s="29"/>
      <c r="CN259" s="29"/>
      <c r="CO259" s="29"/>
      <c r="CP259" s="29"/>
      <c r="CQ259" s="29"/>
      <c r="CR259" s="29"/>
      <c r="CS259" s="29"/>
      <c r="CT259" s="29"/>
      <c r="CU259" s="29"/>
      <c r="CV259" s="29"/>
      <c r="CW259" s="29"/>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row>
    <row r="260" spans="1:131">
      <c r="A260" s="7" t="s">
        <v>489</v>
      </c>
      <c r="B260" s="7"/>
      <c r="C260" s="35">
        <v>87.018336528396802</v>
      </c>
      <c r="D260" s="35">
        <v>1183.5005381933265</v>
      </c>
      <c r="E260" s="35">
        <v>236.70010763866532</v>
      </c>
      <c r="F260" s="35">
        <v>1420.2006458319918</v>
      </c>
      <c r="G260" s="35">
        <v>1874.7167584627332</v>
      </c>
      <c r="H260" s="35">
        <v>-1.2782153644838239</v>
      </c>
      <c r="I260" s="35">
        <v>142969.38040671893</v>
      </c>
      <c r="J260" s="35">
        <v>848.72060675318471</v>
      </c>
      <c r="K260" s="35">
        <v>1624.0877492683064</v>
      </c>
      <c r="L260" s="107">
        <v>3.0510859425974035E-2</v>
      </c>
      <c r="M260" s="35">
        <v>0.43902425896876007</v>
      </c>
      <c r="N260" s="35">
        <v>1.8631276675208853E-2</v>
      </c>
      <c r="O260" s="35">
        <v>4.1808473782624676</v>
      </c>
      <c r="P260" s="35">
        <v>3.7381029064364859</v>
      </c>
      <c r="Q260" s="35">
        <v>4.6193419217376945</v>
      </c>
      <c r="R260" s="35">
        <v>4.8389187556601723</v>
      </c>
      <c r="S260" s="35">
        <v>5.6436170482481698</v>
      </c>
      <c r="T260" s="35">
        <v>6.380062922280918</v>
      </c>
      <c r="U260" s="35">
        <v>5.3682893702953978</v>
      </c>
      <c r="V260" s="35">
        <v>5.7345236442262362</v>
      </c>
      <c r="W260" s="35">
        <v>5.0904242602258645</v>
      </c>
      <c r="X260" s="35">
        <v>5.4412300512594483</v>
      </c>
      <c r="Y260" s="35">
        <v>4.9835062418766762</v>
      </c>
      <c r="Z260" s="35">
        <v>4.2901451577621321</v>
      </c>
      <c r="AA260" s="35"/>
      <c r="AB260" s="35">
        <v>1.8244558591426354</v>
      </c>
      <c r="AC260" s="35">
        <v>1.5191348196145082</v>
      </c>
      <c r="AD260" s="35">
        <v>1.6442501057438708</v>
      </c>
      <c r="AE260" s="35">
        <v>2.1565641388321395</v>
      </c>
      <c r="AF260" s="35">
        <v>2.7674411037942686</v>
      </c>
      <c r="AG260" s="35">
        <v>2.5451184476054163</v>
      </c>
      <c r="AH260" s="35">
        <v>2.8624954935223559</v>
      </c>
      <c r="AI260" s="35">
        <v>2.1410623480508408</v>
      </c>
      <c r="AJ260" s="35">
        <v>2.6886106034157007</v>
      </c>
      <c r="AK260" s="35">
        <v>2.1683716548970273</v>
      </c>
      <c r="AL260" s="35">
        <v>2.5981311223950496</v>
      </c>
      <c r="AM260" s="29">
        <v>1.7936911731113003</v>
      </c>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29"/>
      <c r="CC260" s="29"/>
      <c r="CD260" s="29"/>
      <c r="CE260" s="29"/>
      <c r="CF260" s="29"/>
      <c r="CG260" s="29"/>
      <c r="CH260" s="29"/>
      <c r="CI260" s="29"/>
      <c r="CJ260" s="29"/>
      <c r="CK260" s="29"/>
      <c r="CL260" s="29"/>
      <c r="CM260" s="29"/>
      <c r="CN260" s="29"/>
      <c r="CO260" s="29"/>
      <c r="CP260" s="29"/>
      <c r="CQ260" s="29"/>
      <c r="CR260" s="29"/>
      <c r="CS260" s="29"/>
      <c r="CT260" s="29"/>
      <c r="CU260" s="29"/>
      <c r="CV260" s="29"/>
      <c r="CW260" s="29"/>
      <c r="CX260" s="7"/>
      <c r="CY260" s="7"/>
      <c r="CZ260" s="7"/>
      <c r="DA260" s="7"/>
      <c r="DB260" s="7"/>
      <c r="DC260" s="7"/>
      <c r="DD260" s="7"/>
      <c r="DE260" s="7"/>
      <c r="DF260" s="7"/>
      <c r="DG260" s="7"/>
      <c r="DH260" s="7"/>
      <c r="DI260" s="7"/>
      <c r="DJ260" s="7"/>
      <c r="DK260" s="7"/>
      <c r="DL260" s="7"/>
      <c r="DM260" s="7"/>
      <c r="DN260" s="7"/>
      <c r="DO260" s="7"/>
      <c r="DP260" s="7"/>
      <c r="DQ260" s="7"/>
      <c r="DR260" s="7"/>
      <c r="DS260" s="7"/>
      <c r="DT260" s="7"/>
      <c r="DU260" s="7"/>
      <c r="DV260" s="7"/>
      <c r="DW260" s="7"/>
      <c r="DX260" s="7"/>
      <c r="DY260" s="7"/>
      <c r="DZ260" s="7"/>
      <c r="EA260" s="7"/>
    </row>
    <row r="261" spans="1:131">
      <c r="A261" s="7" t="s">
        <v>478</v>
      </c>
      <c r="B261" s="7"/>
      <c r="C261" s="35">
        <v>86.442796713311679</v>
      </c>
      <c r="D261" s="35">
        <v>1183.5005381933324</v>
      </c>
      <c r="E261" s="35">
        <v>236.70010763866651</v>
      </c>
      <c r="F261" s="35">
        <v>1420.2006458319988</v>
      </c>
      <c r="G261" s="35">
        <v>1874.7167584627423</v>
      </c>
      <c r="H261" s="35">
        <v>-2.4183659486171258</v>
      </c>
      <c r="I261" s="35">
        <v>143921.2766189051</v>
      </c>
      <c r="J261" s="35">
        <v>854.45734350970963</v>
      </c>
      <c r="K261" s="35">
        <v>1635.6197766937105</v>
      </c>
      <c r="L261" s="107">
        <v>3.0294225102153013E-2</v>
      </c>
      <c r="M261" s="35">
        <v>0.42820122422732154</v>
      </c>
      <c r="N261" s="35">
        <v>1.8500463749028924E-2</v>
      </c>
      <c r="O261" s="35">
        <v>4.1516391288572629</v>
      </c>
      <c r="P261" s="35">
        <v>3.7124378816716614</v>
      </c>
      <c r="Q261" s="35">
        <v>4.5882844856826575</v>
      </c>
      <c r="R261" s="35">
        <v>4.8068299232196363</v>
      </c>
      <c r="S261" s="35">
        <v>5.6072857472458155</v>
      </c>
      <c r="T261" s="35">
        <v>6.3394992276689912</v>
      </c>
      <c r="U261" s="35">
        <v>5.3342582145942945</v>
      </c>
      <c r="V261" s="35">
        <v>5.6981800696064164</v>
      </c>
      <c r="W261" s="35">
        <v>5.0578689218721955</v>
      </c>
      <c r="X261" s="35">
        <v>5.4056642191415216</v>
      </c>
      <c r="Y261" s="35">
        <v>4.95019080312355</v>
      </c>
      <c r="Z261" s="35">
        <v>4.2597922763995353</v>
      </c>
      <c r="AA261" s="35"/>
      <c r="AB261" s="35">
        <v>1.811164611929301</v>
      </c>
      <c r="AC261" s="35">
        <v>1.508213029680243</v>
      </c>
      <c r="AD261" s="35">
        <v>1.6328298133318722</v>
      </c>
      <c r="AE261" s="35">
        <v>2.1420437473375995</v>
      </c>
      <c r="AF261" s="35">
        <v>2.7495783605971491</v>
      </c>
      <c r="AG261" s="35">
        <v>2.5289190338701562</v>
      </c>
      <c r="AH261" s="35">
        <v>2.8443482250319554</v>
      </c>
      <c r="AI261" s="35">
        <v>2.1274905284165162</v>
      </c>
      <c r="AJ261" s="35">
        <v>2.671400902434514</v>
      </c>
      <c r="AK261" s="35">
        <v>2.1540680519833866</v>
      </c>
      <c r="AL261" s="35">
        <v>2.5805281272038858</v>
      </c>
      <c r="AM261" s="29">
        <v>1.7802813824115473</v>
      </c>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29"/>
      <c r="CC261" s="29"/>
      <c r="CD261" s="29"/>
      <c r="CE261" s="29"/>
      <c r="CF261" s="29"/>
      <c r="CG261" s="29"/>
      <c r="CH261" s="29"/>
      <c r="CI261" s="29"/>
      <c r="CJ261" s="29"/>
      <c r="CK261" s="29"/>
      <c r="CL261" s="29"/>
      <c r="CM261" s="29"/>
      <c r="CN261" s="29"/>
      <c r="CO261" s="29"/>
      <c r="CP261" s="29"/>
      <c r="CQ261" s="29"/>
      <c r="CR261" s="29"/>
      <c r="CS261" s="29"/>
      <c r="CT261" s="29"/>
      <c r="CU261" s="29"/>
      <c r="CV261" s="29"/>
      <c r="CW261" s="29"/>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row>
    <row r="262" spans="1:131">
      <c r="A262" s="7" t="s">
        <v>492</v>
      </c>
      <c r="B262" s="7"/>
      <c r="C262" s="35">
        <v>50.096541596068619</v>
      </c>
      <c r="D262" s="35">
        <v>1183.5005381933265</v>
      </c>
      <c r="E262" s="35">
        <v>236.70010763866532</v>
      </c>
      <c r="F262" s="35">
        <v>1420.2006458319918</v>
      </c>
      <c r="G262" s="35">
        <v>1874.7167584627332</v>
      </c>
      <c r="H262" s="35">
        <v>25.813598605470936</v>
      </c>
      <c r="I262" s="35">
        <v>248339.65102422494</v>
      </c>
      <c r="J262" s="35">
        <v>1471.2339610789686</v>
      </c>
      <c r="K262" s="35">
        <v>2752.9917395427819</v>
      </c>
      <c r="L262" s="107">
        <v>2.2125422579930672E-2</v>
      </c>
      <c r="M262" s="35">
        <v>0.4683873122380785</v>
      </c>
      <c r="N262" s="35">
        <v>2.1282420994286143E-2</v>
      </c>
      <c r="O262" s="35">
        <v>4.7602410155417694</v>
      </c>
      <c r="P262" s="35">
        <v>4.2083169111409191</v>
      </c>
      <c r="Q262" s="35">
        <v>5.1304989062639592</v>
      </c>
      <c r="R262" s="35">
        <v>4.9910125892277959</v>
      </c>
      <c r="S262" s="35">
        <v>4.4496607033250806</v>
      </c>
      <c r="T262" s="35">
        <v>4.9746595560278779</v>
      </c>
      <c r="U262" s="35">
        <v>-7.0065244096157615</v>
      </c>
      <c r="V262" s="35">
        <v>-6.6625949310919781</v>
      </c>
      <c r="W262" s="35">
        <v>0.32076401084930728</v>
      </c>
      <c r="X262" s="35">
        <v>5.0169062453719624</v>
      </c>
      <c r="Y262" s="35">
        <v>5.5147311955653322</v>
      </c>
      <c r="Z262" s="35">
        <v>4.9251705427770824</v>
      </c>
      <c r="AA262" s="35"/>
      <c r="AB262" s="35">
        <v>2.1352214275530983</v>
      </c>
      <c r="AC262" s="35">
        <v>1.7624696093034162</v>
      </c>
      <c r="AD262" s="35">
        <v>1.8650206850861342</v>
      </c>
      <c r="AE262" s="35">
        <v>2.3045711533643423</v>
      </c>
      <c r="AF262" s="35">
        <v>2.4928452888049373</v>
      </c>
      <c r="AG262" s="35">
        <v>2.3122976348807507</v>
      </c>
      <c r="AH262" s="35">
        <v>-1.0138474298618545</v>
      </c>
      <c r="AI262" s="35">
        <v>-0.4905671494556022</v>
      </c>
      <c r="AJ262" s="35">
        <v>0.98304481397403765</v>
      </c>
      <c r="AK262" s="35">
        <v>2.0870630175189944</v>
      </c>
      <c r="AL262" s="35">
        <v>2.8999574588766772</v>
      </c>
      <c r="AM262" s="29">
        <v>2.1356227506403225</v>
      </c>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29"/>
      <c r="CC262" s="29"/>
      <c r="CD262" s="29"/>
      <c r="CE262" s="29"/>
      <c r="CF262" s="29"/>
      <c r="CG262" s="29"/>
      <c r="CH262" s="29"/>
      <c r="CI262" s="29"/>
      <c r="CJ262" s="29"/>
      <c r="CK262" s="29"/>
      <c r="CL262" s="29"/>
      <c r="CM262" s="29"/>
      <c r="CN262" s="29"/>
      <c r="CO262" s="29"/>
      <c r="CP262" s="29"/>
      <c r="CQ262" s="29"/>
      <c r="CR262" s="29"/>
      <c r="CS262" s="29"/>
      <c r="CT262" s="29"/>
      <c r="CU262" s="29"/>
      <c r="CV262" s="29"/>
      <c r="CW262" s="29"/>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row>
    <row r="263" spans="1:131">
      <c r="A263" s="7" t="s">
        <v>481</v>
      </c>
      <c r="B263" s="7"/>
      <c r="C263" s="35">
        <v>50.040314629419214</v>
      </c>
      <c r="D263" s="35">
        <v>1183.5005381933324</v>
      </c>
      <c r="E263" s="35">
        <v>236.70010763866651</v>
      </c>
      <c r="F263" s="35">
        <v>1420.2006458319988</v>
      </c>
      <c r="G263" s="35">
        <v>1874.7167584627423</v>
      </c>
      <c r="H263" s="35">
        <v>25.964688160135108</v>
      </c>
      <c r="I263" s="35">
        <v>248618.69373967013</v>
      </c>
      <c r="J263" s="35">
        <v>1473.1601142644085</v>
      </c>
      <c r="K263" s="35">
        <v>2755.8310346940802</v>
      </c>
      <c r="L263" s="107">
        <v>2.2019924944847204E-2</v>
      </c>
      <c r="M263" s="35">
        <v>0.4671555669459076</v>
      </c>
      <c r="N263" s="35">
        <v>2.104178715284186E-2</v>
      </c>
      <c r="O263" s="35">
        <v>4.7064184226103549</v>
      </c>
      <c r="P263" s="35">
        <v>4.160734755679627</v>
      </c>
      <c r="Q263" s="35">
        <v>5.0724899203186355</v>
      </c>
      <c r="R263" s="35">
        <v>4.938346091583556</v>
      </c>
      <c r="S263" s="35">
        <v>4.4178029189779844</v>
      </c>
      <c r="T263" s="35">
        <v>4.9392918578778575</v>
      </c>
      <c r="U263" s="35">
        <v>-6.7844636528358953</v>
      </c>
      <c r="V263" s="35">
        <v>-6.4438973923969129</v>
      </c>
      <c r="W263" s="35">
        <v>0.37489692640272099</v>
      </c>
      <c r="X263" s="35">
        <v>4.9704699641142644</v>
      </c>
      <c r="Y263" s="35">
        <v>5.4523778123446078</v>
      </c>
      <c r="Z263" s="35">
        <v>4.8694831419971205</v>
      </c>
      <c r="AA263" s="35"/>
      <c r="AB263" s="35">
        <v>2.1110791302747858</v>
      </c>
      <c r="AC263" s="35">
        <v>1.7425419031167304</v>
      </c>
      <c r="AD263" s="35">
        <v>1.8439334651713595</v>
      </c>
      <c r="AE263" s="35">
        <v>2.279554491682569</v>
      </c>
      <c r="AF263" s="35">
        <v>2.4702814205039738</v>
      </c>
      <c r="AG263" s="35">
        <v>2.2908308732985749</v>
      </c>
      <c r="AH263" s="35">
        <v>-0.9567148480467107</v>
      </c>
      <c r="AI263" s="35">
        <v>-0.45386310819997311</v>
      </c>
      <c r="AJ263" s="35">
        <v>0.99333923892452858</v>
      </c>
      <c r="AK263" s="35">
        <v>2.0667368557009729</v>
      </c>
      <c r="AL263" s="35">
        <v>2.8671685245941605</v>
      </c>
      <c r="AM263" s="29">
        <v>2.1114759157242968</v>
      </c>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c r="CK263" s="29"/>
      <c r="CL263" s="29"/>
      <c r="CM263" s="29"/>
      <c r="CN263" s="29"/>
      <c r="CO263" s="29"/>
      <c r="CP263" s="29"/>
      <c r="CQ263" s="29"/>
      <c r="CR263" s="29"/>
      <c r="CS263" s="29"/>
      <c r="CT263" s="29"/>
      <c r="CU263" s="29"/>
      <c r="CV263" s="29"/>
      <c r="CW263" s="29"/>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row>
    <row r="264" spans="1:131">
      <c r="A264" s="7" t="s">
        <v>493</v>
      </c>
      <c r="B264" s="7"/>
      <c r="C264" s="35">
        <v>32.764624802907406</v>
      </c>
      <c r="D264" s="35">
        <v>1183.5005381933265</v>
      </c>
      <c r="E264" s="35">
        <v>236.70010763866532</v>
      </c>
      <c r="F264" s="35">
        <v>1420.2006458319918</v>
      </c>
      <c r="G264" s="35">
        <v>1874.7167584627332</v>
      </c>
      <c r="H264" s="35">
        <v>-6.8990374298423101</v>
      </c>
      <c r="I264" s="35">
        <v>379707.008162788</v>
      </c>
      <c r="J264" s="35">
        <v>2288.4685271617268</v>
      </c>
      <c r="K264" s="35">
        <v>4262.5491729940195</v>
      </c>
      <c r="L264" s="107">
        <v>8.651249589013461E-3</v>
      </c>
      <c r="M264" s="35">
        <v>0.30001018768220761</v>
      </c>
      <c r="N264" s="35">
        <v>-1.2107729772340772E-3</v>
      </c>
      <c r="O264" s="35">
        <v>-1.2684617343799307</v>
      </c>
      <c r="P264" s="35">
        <v>-0.62070770836952505</v>
      </c>
      <c r="Q264" s="35">
        <v>0.89314655873234916</v>
      </c>
      <c r="R264" s="35">
        <v>1.4365377029548891</v>
      </c>
      <c r="S264" s="35">
        <v>4.4823667357595989</v>
      </c>
      <c r="T264" s="35">
        <v>6.0659831870387801</v>
      </c>
      <c r="U264" s="35">
        <v>5.243941575606974</v>
      </c>
      <c r="V264" s="35">
        <v>5.6146892082976958</v>
      </c>
      <c r="W264" s="35">
        <v>4.5048849285350627</v>
      </c>
      <c r="X264" s="35">
        <v>3.5469138304809631</v>
      </c>
      <c r="Y264" s="35">
        <v>1.4245087785196013</v>
      </c>
      <c r="Z264" s="35">
        <v>-1.8930042761901571</v>
      </c>
      <c r="AA264" s="35"/>
      <c r="AB264" s="35">
        <v>-2.6546051326386291</v>
      </c>
      <c r="AC264" s="35">
        <v>-1.8749618112249182</v>
      </c>
      <c r="AD264" s="35">
        <v>-1.021774495049206</v>
      </c>
      <c r="AE264" s="35">
        <v>-0.39258943522354012</v>
      </c>
      <c r="AF264" s="35">
        <v>1.9657803139731813</v>
      </c>
      <c r="AG264" s="35">
        <v>2.3381856841920232</v>
      </c>
      <c r="AH264" s="35">
        <v>2.7694313393867005</v>
      </c>
      <c r="AI264" s="35">
        <v>2.0658077868167433</v>
      </c>
      <c r="AJ264" s="35">
        <v>2.245919453690763</v>
      </c>
      <c r="AK264" s="35">
        <v>0.97421304927611541</v>
      </c>
      <c r="AL264" s="35">
        <v>-0.10950933769055704</v>
      </c>
      <c r="AM264" s="29">
        <v>-2.9720713995875805</v>
      </c>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c r="CK264" s="29"/>
      <c r="CL264" s="29"/>
      <c r="CM264" s="29"/>
      <c r="CN264" s="29"/>
      <c r="CO264" s="29"/>
      <c r="CP264" s="29"/>
      <c r="CQ264" s="29"/>
      <c r="CR264" s="29"/>
      <c r="CS264" s="29"/>
      <c r="CT264" s="29"/>
      <c r="CU264" s="29"/>
      <c r="CV264" s="29"/>
      <c r="CW264" s="29"/>
      <c r="CX264" s="7"/>
      <c r="CY264" s="7"/>
      <c r="CZ264" s="7"/>
      <c r="DA264" s="7"/>
      <c r="DB264" s="7"/>
      <c r="DC264" s="7"/>
      <c r="DD264" s="7"/>
      <c r="DE264" s="7"/>
      <c r="DF264" s="7"/>
      <c r="DG264" s="7"/>
      <c r="DH264" s="7"/>
      <c r="DI264" s="7"/>
      <c r="DJ264" s="7"/>
      <c r="DK264" s="7"/>
      <c r="DL264" s="7"/>
      <c r="DM264" s="7"/>
      <c r="DN264" s="7"/>
      <c r="DO264" s="7"/>
      <c r="DP264" s="7"/>
      <c r="DQ264" s="7"/>
      <c r="DR264" s="7"/>
      <c r="DS264" s="7"/>
      <c r="DT264" s="7"/>
      <c r="DU264" s="7"/>
      <c r="DV264" s="7"/>
      <c r="DW264" s="7"/>
      <c r="DX264" s="7"/>
      <c r="DY264" s="7"/>
      <c r="DZ264" s="7"/>
      <c r="EA264" s="7"/>
    </row>
    <row r="265" spans="1:131">
      <c r="A265" s="7" t="s">
        <v>482</v>
      </c>
      <c r="B265" s="7"/>
      <c r="C265" s="35">
        <v>31.639902913345086</v>
      </c>
      <c r="D265" s="35">
        <v>1183.5005381933324</v>
      </c>
      <c r="E265" s="35">
        <v>236.70010763866651</v>
      </c>
      <c r="F265" s="35">
        <v>1420.2006458319988</v>
      </c>
      <c r="G265" s="35">
        <v>1874.7167584627423</v>
      </c>
      <c r="H265" s="35">
        <v>-8.0676286970941131</v>
      </c>
      <c r="I265" s="35">
        <v>393204.67232663219</v>
      </c>
      <c r="J265" s="35">
        <v>2370.4090714151662</v>
      </c>
      <c r="K265" s="35">
        <v>4415.4378199361927</v>
      </c>
      <c r="L265" s="107">
        <v>8.342302613529369E-3</v>
      </c>
      <c r="M265" s="35">
        <v>0.28802535186872325</v>
      </c>
      <c r="N265" s="35">
        <v>-1.5401398661715332E-3</v>
      </c>
      <c r="O265" s="35">
        <v>-1.3514104068599837</v>
      </c>
      <c r="P265" s="35">
        <v>-0.68938206879869546</v>
      </c>
      <c r="Q265" s="35">
        <v>0.82476886793984328</v>
      </c>
      <c r="R265" s="35">
        <v>1.3702754525754122</v>
      </c>
      <c r="S265" s="35">
        <v>4.4329296512214977</v>
      </c>
      <c r="T265" s="35">
        <v>6.0201915193111368</v>
      </c>
      <c r="U265" s="35">
        <v>5.2068716307953311</v>
      </c>
      <c r="V265" s="35">
        <v>5.5752258527403322</v>
      </c>
      <c r="W265" s="35">
        <v>4.4649307088352064</v>
      </c>
      <c r="X265" s="35">
        <v>3.4911905982246787</v>
      </c>
      <c r="Y265" s="35">
        <v>1.3553302339730002</v>
      </c>
      <c r="Z265" s="35">
        <v>-1.9842270146832319</v>
      </c>
      <c r="AA265" s="35"/>
      <c r="AB265" s="35">
        <v>-2.7112105502479258</v>
      </c>
      <c r="AC265" s="35">
        <v>-1.9187442747827306</v>
      </c>
      <c r="AD265" s="35">
        <v>-1.059154257738794</v>
      </c>
      <c r="AE265" s="35">
        <v>-0.43207510585816966</v>
      </c>
      <c r="AF265" s="35">
        <v>1.939303337098101</v>
      </c>
      <c r="AG265" s="35">
        <v>2.3191309020847712</v>
      </c>
      <c r="AH265" s="35">
        <v>2.7494142033509235</v>
      </c>
      <c r="AI265" s="35">
        <v>2.0507859144385945</v>
      </c>
      <c r="AJ265" s="35">
        <v>2.2235520940773128</v>
      </c>
      <c r="AK265" s="35">
        <v>0.94771436093500161</v>
      </c>
      <c r="AL265" s="35">
        <v>-0.15387315739185597</v>
      </c>
      <c r="AM265" s="29">
        <v>-3.0316355778946802</v>
      </c>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c r="CK265" s="29"/>
      <c r="CL265" s="29"/>
      <c r="CM265" s="29"/>
      <c r="CN265" s="29"/>
      <c r="CO265" s="29"/>
      <c r="CP265" s="29"/>
      <c r="CQ265" s="29"/>
      <c r="CR265" s="29"/>
      <c r="CS265" s="29"/>
      <c r="CT265" s="29"/>
      <c r="CU265" s="29"/>
      <c r="CV265" s="29"/>
      <c r="CW265" s="29"/>
      <c r="CX265" s="7"/>
      <c r="CY265" s="7"/>
      <c r="CZ265" s="7"/>
      <c r="DA265" s="7"/>
      <c r="DB265" s="7"/>
      <c r="DC265" s="7"/>
      <c r="DD265" s="7"/>
      <c r="DE265" s="7"/>
      <c r="DF265" s="7"/>
      <c r="DG265" s="7"/>
      <c r="DH265" s="7"/>
      <c r="DI265" s="7"/>
      <c r="DJ265" s="7"/>
      <c r="DK265" s="7"/>
      <c r="DL265" s="7"/>
      <c r="DM265" s="7"/>
      <c r="DN265" s="7"/>
      <c r="DO265" s="7"/>
      <c r="DP265" s="7"/>
      <c r="DQ265" s="7"/>
      <c r="DR265" s="7"/>
      <c r="DS265" s="7"/>
      <c r="DT265" s="7"/>
      <c r="DU265" s="7"/>
      <c r="DV265" s="7"/>
      <c r="DW265" s="7"/>
      <c r="DX265" s="7"/>
      <c r="DY265" s="7"/>
      <c r="DZ265" s="7"/>
      <c r="EA265" s="7"/>
    </row>
    <row r="266" spans="1:131">
      <c r="A266" s="7" t="s">
        <v>491</v>
      </c>
      <c r="B266" s="7"/>
      <c r="C266" s="35">
        <v>25.501566796410994</v>
      </c>
      <c r="D266" s="35">
        <v>1183.5005381933265</v>
      </c>
      <c r="E266" s="35">
        <v>236.70010763866532</v>
      </c>
      <c r="F266" s="35">
        <v>1420.2006458319918</v>
      </c>
      <c r="G266" s="35">
        <v>1874.7167584627332</v>
      </c>
      <c r="H266" s="35">
        <v>-23.424547288178957</v>
      </c>
      <c r="I266" s="35">
        <v>487850.71744059067</v>
      </c>
      <c r="J266" s="35">
        <v>2967.6862773585121</v>
      </c>
      <c r="K266" s="35">
        <v>5512.2395219051987</v>
      </c>
      <c r="L266" s="107">
        <v>6.4180119521450177E-3</v>
      </c>
      <c r="M266" s="35">
        <v>0.22958351313460526</v>
      </c>
      <c r="N266" s="35">
        <v>-1.353700259592094E-2</v>
      </c>
      <c r="O266" s="35">
        <v>-2.6718218887574743</v>
      </c>
      <c r="P266" s="35">
        <v>-1.2616032620158</v>
      </c>
      <c r="Q266" s="35">
        <v>8.8838034943339583E-2</v>
      </c>
      <c r="R266" s="35">
        <v>1.2072464292968983</v>
      </c>
      <c r="S266" s="35">
        <v>4.1473277913583999</v>
      </c>
      <c r="T266" s="35">
        <v>5.9621092530592019</v>
      </c>
      <c r="U266" s="35">
        <v>5.2665142145857695</v>
      </c>
      <c r="V266" s="35">
        <v>5.6489668315651418</v>
      </c>
      <c r="W266" s="35">
        <v>4.2785638721526702</v>
      </c>
      <c r="X266" s="35">
        <v>2.6527067763532903</v>
      </c>
      <c r="Y266" s="35">
        <v>0.57267653486096359</v>
      </c>
      <c r="Z266" s="35">
        <v>-3.6959787741670556</v>
      </c>
      <c r="AA266" s="35"/>
      <c r="AB266" s="35">
        <v>-2.5314001957710612</v>
      </c>
      <c r="AC266" s="35">
        <v>-1.7441886782884426</v>
      </c>
      <c r="AD266" s="35">
        <v>-0.88355315339147367</v>
      </c>
      <c r="AE266" s="35">
        <v>-1.1277346561394523E-2</v>
      </c>
      <c r="AF266" s="35">
        <v>1.9157857942750176</v>
      </c>
      <c r="AG266" s="35">
        <v>2.3336923798764087</v>
      </c>
      <c r="AH266" s="35">
        <v>2.8055502790700912</v>
      </c>
      <c r="AI266" s="35">
        <v>2.1029851120890433</v>
      </c>
      <c r="AJ266" s="35">
        <v>2.2223973848407783</v>
      </c>
      <c r="AK266" s="35">
        <v>0.73068361509821667</v>
      </c>
      <c r="AL266" s="35">
        <v>-0.28777338261801</v>
      </c>
      <c r="AM266" s="29">
        <v>-3.3468808254435558</v>
      </c>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7"/>
      <c r="CY266" s="7"/>
      <c r="CZ266" s="7"/>
      <c r="DA266" s="7"/>
      <c r="DB266" s="7"/>
      <c r="DC266" s="7"/>
      <c r="DD266" s="7"/>
      <c r="DE266" s="7"/>
      <c r="DF266" s="7"/>
      <c r="DG266" s="7"/>
      <c r="DH266" s="7"/>
      <c r="DI266" s="7"/>
      <c r="DJ266" s="7"/>
      <c r="DK266" s="7"/>
      <c r="DL266" s="7"/>
      <c r="DM266" s="7"/>
      <c r="DN266" s="7"/>
      <c r="DO266" s="7"/>
      <c r="DP266" s="7"/>
      <c r="DQ266" s="7"/>
      <c r="DR266" s="7"/>
      <c r="DS266" s="7"/>
      <c r="DT266" s="7"/>
      <c r="DU266" s="7"/>
      <c r="DV266" s="7"/>
      <c r="DW266" s="7"/>
      <c r="DX266" s="7"/>
      <c r="DY266" s="7"/>
      <c r="DZ266" s="7"/>
      <c r="EA266" s="7"/>
    </row>
    <row r="267" spans="1:131">
      <c r="A267" s="7" t="s">
        <v>480</v>
      </c>
      <c r="B267" s="7"/>
      <c r="C267" s="35">
        <v>24.359737456425254</v>
      </c>
      <c r="D267" s="35">
        <v>1183.5005381933324</v>
      </c>
      <c r="E267" s="35">
        <v>236.70010763866651</v>
      </c>
      <c r="F267" s="35">
        <v>1420.2006458319988</v>
      </c>
      <c r="G267" s="35">
        <v>1874.7167584627423</v>
      </c>
      <c r="H267" s="35">
        <v>-24.715825198092716</v>
      </c>
      <c r="I267" s="35">
        <v>510718.05185678706</v>
      </c>
      <c r="J267" s="35">
        <v>3107.7875867341945</v>
      </c>
      <c r="K267" s="35">
        <v>5772.7243738645357</v>
      </c>
      <c r="L267" s="107">
        <v>6.1048464142199341E-3</v>
      </c>
      <c r="M267" s="35">
        <v>0.2172736939613098</v>
      </c>
      <c r="N267" s="35">
        <v>-1.3963938996475144E-2</v>
      </c>
      <c r="O267" s="35">
        <v>-2.7641120399014825</v>
      </c>
      <c r="P267" s="35">
        <v>-1.3332928300573716</v>
      </c>
      <c r="Q267" s="35">
        <v>1.6075273579597728E-2</v>
      </c>
      <c r="R267" s="35">
        <v>1.1417264201991524</v>
      </c>
      <c r="S267" s="35">
        <v>4.0972224749763431</v>
      </c>
      <c r="T267" s="35">
        <v>5.9176981069993984</v>
      </c>
      <c r="U267" s="35">
        <v>5.2315461728156389</v>
      </c>
      <c r="V267" s="35">
        <v>5.6118356680162389</v>
      </c>
      <c r="W267" s="35">
        <v>4.2385349938935315</v>
      </c>
      <c r="X267" s="35">
        <v>2.5914713336982573</v>
      </c>
      <c r="Y267" s="35">
        <v>0.49875742543257645</v>
      </c>
      <c r="Z267" s="35">
        <v>-3.7998475170892378</v>
      </c>
      <c r="AA267" s="35"/>
      <c r="AB267" s="35">
        <v>-2.5847890564744938</v>
      </c>
      <c r="AC267" s="35">
        <v>-1.7851508282948585</v>
      </c>
      <c r="AD267" s="35">
        <v>-0.91824301136900077</v>
      </c>
      <c r="AE267" s="35">
        <v>-4.5753693646122418E-2</v>
      </c>
      <c r="AF267" s="35">
        <v>1.8900831810277001</v>
      </c>
      <c r="AG267" s="35">
        <v>2.3155466941251195</v>
      </c>
      <c r="AH267" s="35">
        <v>2.7868788042766286</v>
      </c>
      <c r="AI267" s="35">
        <v>2.0890627743771879</v>
      </c>
      <c r="AJ267" s="35">
        <v>2.2008959815611875</v>
      </c>
      <c r="AK267" s="35">
        <v>0.70314544735680606</v>
      </c>
      <c r="AL267" s="35">
        <v>-0.33194242635451249</v>
      </c>
      <c r="AM267" s="29">
        <v>-3.407611892723041</v>
      </c>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29"/>
      <c r="CC267" s="29"/>
      <c r="CD267" s="29"/>
      <c r="CE267" s="29"/>
      <c r="CF267" s="29"/>
      <c r="CG267" s="29"/>
      <c r="CH267" s="29"/>
      <c r="CI267" s="29"/>
      <c r="CJ267" s="29"/>
      <c r="CK267" s="29"/>
      <c r="CL267" s="29"/>
      <c r="CM267" s="29"/>
      <c r="CN267" s="29"/>
      <c r="CO267" s="29"/>
      <c r="CP267" s="29"/>
      <c r="CQ267" s="29"/>
      <c r="CR267" s="29"/>
      <c r="CS267" s="29"/>
      <c r="CT267" s="29"/>
      <c r="CU267" s="29"/>
      <c r="CV267" s="29"/>
      <c r="CW267" s="29"/>
      <c r="CX267" s="7"/>
      <c r="CY267" s="7"/>
      <c r="CZ267" s="7"/>
      <c r="DA267" s="7"/>
      <c r="DB267" s="7"/>
      <c r="DC267" s="7"/>
      <c r="DD267" s="7"/>
      <c r="DE267" s="7"/>
      <c r="DF267" s="7"/>
      <c r="DG267" s="7"/>
      <c r="DH267" s="7"/>
      <c r="DI267" s="7"/>
      <c r="DJ267" s="7"/>
      <c r="DK267" s="7"/>
      <c r="DL267" s="7"/>
      <c r="DM267" s="7"/>
      <c r="DN267" s="7"/>
      <c r="DO267" s="7"/>
      <c r="DP267" s="7"/>
      <c r="DQ267" s="7"/>
      <c r="DR267" s="7"/>
      <c r="DS267" s="7"/>
      <c r="DT267" s="7"/>
      <c r="DU267" s="7"/>
      <c r="DV267" s="7"/>
      <c r="DW267" s="7"/>
      <c r="DX267" s="7"/>
      <c r="DY267" s="7"/>
      <c r="DZ267" s="7"/>
      <c r="EA267" s="7"/>
    </row>
    <row r="268" spans="1:131">
      <c r="A268" s="7"/>
      <c r="B268" s="7"/>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c r="CF268" s="29"/>
      <c r="CG268" s="29"/>
      <c r="CH268" s="29"/>
      <c r="CI268" s="29"/>
      <c r="CJ268" s="29"/>
      <c r="CK268" s="29"/>
      <c r="CL268" s="29"/>
      <c r="CM268" s="29"/>
      <c r="CN268" s="29"/>
      <c r="CO268" s="29"/>
      <c r="CP268" s="29"/>
      <c r="CQ268" s="29"/>
      <c r="CR268" s="29"/>
      <c r="CS268" s="29"/>
      <c r="CT268" s="29"/>
      <c r="CU268" s="29"/>
      <c r="CV268" s="29"/>
      <c r="CW268" s="29"/>
      <c r="CX268" s="7"/>
      <c r="CY268" s="7"/>
      <c r="CZ268" s="7"/>
      <c r="DA268" s="7"/>
      <c r="DB268" s="7"/>
      <c r="DC268" s="7"/>
      <c r="DD268" s="7"/>
      <c r="DE268" s="7"/>
      <c r="DF268" s="7"/>
      <c r="DG268" s="7"/>
      <c r="DH268" s="7"/>
      <c r="DI268" s="7"/>
      <c r="DJ268" s="7"/>
      <c r="DK268" s="7"/>
      <c r="DL268" s="7"/>
      <c r="DM268" s="7"/>
      <c r="DN268" s="7"/>
      <c r="DO268" s="7"/>
      <c r="DP268" s="7"/>
      <c r="DQ268" s="7"/>
      <c r="DR268" s="7"/>
      <c r="DS268" s="7"/>
      <c r="DT268" s="7"/>
      <c r="DU268" s="7"/>
      <c r="DV268" s="7"/>
      <c r="DW268" s="7"/>
      <c r="DX268" s="7"/>
      <c r="DY268" s="7"/>
      <c r="DZ268" s="7"/>
      <c r="EA268" s="7"/>
    </row>
  </sheetData>
  <mergeCells count="3">
    <mergeCell ref="I6:N6"/>
    <mergeCell ref="O6:P6"/>
    <mergeCell ref="R6:T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7"/>
  <dimension ref="A2:DC401"/>
  <sheetViews>
    <sheetView topLeftCell="A115" workbookViewId="0">
      <selection activeCell="E124" sqref="E124"/>
    </sheetView>
  </sheetViews>
  <sheetFormatPr defaultRowHeight="12.75"/>
  <cols>
    <col min="1" max="1" width="24.42578125" customWidth="1"/>
    <col min="2" max="2" width="26.5703125" customWidth="1"/>
    <col min="3" max="3" width="27.42578125" customWidth="1"/>
    <col min="4" max="4" width="30.7109375" customWidth="1"/>
    <col min="5" max="5" width="17.28515625" customWidth="1"/>
    <col min="10" max="10" width="9.85546875" customWidth="1"/>
    <col min="17" max="18" width="9.85546875" customWidth="1"/>
  </cols>
  <sheetData>
    <row r="2" spans="1:107">
      <c r="A2" t="s">
        <v>54</v>
      </c>
      <c r="B2" t="s">
        <v>434</v>
      </c>
    </row>
    <row r="3" spans="1:107">
      <c r="A3" s="42" t="s">
        <v>442</v>
      </c>
      <c r="B3" s="42"/>
      <c r="C3" s="42"/>
      <c r="E3">
        <v>4</v>
      </c>
      <c r="F3">
        <v>5</v>
      </c>
      <c r="G3">
        <v>6</v>
      </c>
      <c r="H3">
        <v>7</v>
      </c>
      <c r="I3">
        <v>8</v>
      </c>
      <c r="J3">
        <v>9</v>
      </c>
      <c r="K3">
        <v>10</v>
      </c>
      <c r="L3">
        <v>11</v>
      </c>
      <c r="M3">
        <v>12</v>
      </c>
      <c r="N3">
        <v>13</v>
      </c>
      <c r="O3">
        <v>14</v>
      </c>
      <c r="P3">
        <v>15</v>
      </c>
      <c r="Q3">
        <v>16</v>
      </c>
      <c r="R3">
        <v>17</v>
      </c>
    </row>
    <row r="4" spans="1:107" s="7" customFormat="1">
      <c r="C4" s="213" t="s">
        <v>3</v>
      </c>
      <c r="D4" s="214"/>
      <c r="E4" s="214"/>
      <c r="F4" s="214"/>
      <c r="G4" s="214"/>
      <c r="H4" s="214"/>
      <c r="I4" s="214"/>
      <c r="J4" s="215"/>
      <c r="K4" s="216" t="s">
        <v>4</v>
      </c>
      <c r="L4" s="217"/>
      <c r="M4" s="217"/>
      <c r="N4" s="217"/>
      <c r="O4" s="217"/>
      <c r="P4" s="218"/>
      <c r="Q4" s="219" t="s">
        <v>5</v>
      </c>
      <c r="R4" s="220"/>
      <c r="S4" s="16"/>
      <c r="T4" s="17"/>
      <c r="U4" s="17"/>
      <c r="V4" s="17"/>
      <c r="W4" s="17"/>
      <c r="X4" s="17"/>
      <c r="Y4" s="17"/>
      <c r="Z4" s="18"/>
      <c r="AA4" s="19"/>
      <c r="AB4" s="17"/>
      <c r="AC4" s="17"/>
      <c r="AD4" s="17"/>
      <c r="AE4" s="17"/>
      <c r="AF4" s="17"/>
      <c r="AG4" s="20"/>
      <c r="AH4" s="20"/>
      <c r="AI4" s="20"/>
      <c r="AJ4" s="20"/>
      <c r="AK4" s="20"/>
      <c r="AL4" s="20"/>
      <c r="AM4" s="20"/>
      <c r="AN4" s="20"/>
      <c r="AO4" s="20"/>
      <c r="AP4" s="20"/>
      <c r="AQ4" s="20"/>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1:107" ht="38.25">
      <c r="A5" s="7" t="s">
        <v>48</v>
      </c>
      <c r="B5" s="7"/>
      <c r="C5" s="21" t="s">
        <v>6</v>
      </c>
      <c r="D5" s="21" t="s">
        <v>7</v>
      </c>
      <c r="E5" s="21" t="s">
        <v>8</v>
      </c>
      <c r="F5" s="21" t="s">
        <v>9</v>
      </c>
      <c r="G5" s="21" t="s">
        <v>10</v>
      </c>
      <c r="H5" s="21" t="s">
        <v>11</v>
      </c>
      <c r="I5" s="21" t="s">
        <v>12</v>
      </c>
      <c r="J5" s="21" t="s">
        <v>13</v>
      </c>
      <c r="K5" s="21" t="s">
        <v>14</v>
      </c>
      <c r="L5" s="21" t="s">
        <v>15</v>
      </c>
      <c r="M5" s="21" t="s">
        <v>16</v>
      </c>
      <c r="N5" s="21" t="s">
        <v>17</v>
      </c>
      <c r="O5" s="21" t="s">
        <v>18</v>
      </c>
      <c r="P5" s="21" t="s">
        <v>19</v>
      </c>
      <c r="Q5" s="22" t="s">
        <v>20</v>
      </c>
      <c r="R5" s="21" t="s">
        <v>12</v>
      </c>
    </row>
    <row r="6" spans="1:107">
      <c r="A6" t="s">
        <v>50</v>
      </c>
      <c r="B6" t="str">
        <f>CONCATENATE(C6,D6)</f>
        <v>Tier1_garage_HZ1DHWkwh</v>
      </c>
      <c r="C6" s="24" t="str">
        <f>Composite!B148</f>
        <v>Tier1_garage_HZ1</v>
      </c>
      <c r="D6" s="24" t="str">
        <f>Composite!C148</f>
        <v>DHWkwh</v>
      </c>
      <c r="E6" s="44">
        <f>Composite!D148</f>
        <v>1016.3640964593774</v>
      </c>
      <c r="F6" s="24">
        <f>Composite!E148</f>
        <v>13</v>
      </c>
      <c r="G6" s="44">
        <f>Composite!F148</f>
        <v>724.5875237038573</v>
      </c>
      <c r="H6" s="44">
        <f>Composite!G148</f>
        <v>0</v>
      </c>
      <c r="I6" s="24" t="str">
        <f>Composite!H148</f>
        <v>ResDHW</v>
      </c>
      <c r="J6" s="44">
        <f>Composite!I148</f>
        <v>0</v>
      </c>
      <c r="K6" s="44">
        <f>Composite!J148</f>
        <v>0</v>
      </c>
      <c r="L6" s="24">
        <f>Composite!K148</f>
        <v>0</v>
      </c>
      <c r="M6" s="44">
        <f>Composite!L148</f>
        <v>0</v>
      </c>
      <c r="N6" s="24">
        <f>Composite!M148</f>
        <v>0</v>
      </c>
      <c r="O6" s="44">
        <f>Composite!N148</f>
        <v>0</v>
      </c>
      <c r="P6" s="24">
        <f>Composite!O148</f>
        <v>0</v>
      </c>
      <c r="Q6" s="44">
        <f>Composite!P148</f>
        <v>0</v>
      </c>
      <c r="R6" s="44" t="str">
        <f>Composite!Q148</f>
        <v/>
      </c>
    </row>
    <row r="7" spans="1:107" ht="25.5">
      <c r="A7" t="s">
        <v>50</v>
      </c>
      <c r="B7" t="str">
        <f t="shared" ref="B7:B70" si="0">CONCATENATE(C7,D7)</f>
        <v>Tier1_garage_HZ1Heatkwh</v>
      </c>
      <c r="C7" s="24" t="str">
        <f>Composite!B149</f>
        <v>Tier1_garage_HZ1</v>
      </c>
      <c r="D7" s="24" t="str">
        <f>Composite!C149</f>
        <v>Heatkwh</v>
      </c>
      <c r="E7" s="44">
        <f>Composite!D149</f>
        <v>0</v>
      </c>
      <c r="F7" s="24">
        <f>Composite!E149</f>
        <v>13</v>
      </c>
      <c r="G7" s="44">
        <f>Composite!F149</f>
        <v>0</v>
      </c>
      <c r="H7" s="44">
        <f>Composite!G149</f>
        <v>0</v>
      </c>
      <c r="I7" s="24" t="str">
        <f>Composite!H149</f>
        <v>ResSpHtFAFZ1</v>
      </c>
      <c r="J7" s="44">
        <f>Composite!I149</f>
        <v>0</v>
      </c>
      <c r="K7" s="44">
        <f>Composite!J149</f>
        <v>0</v>
      </c>
      <c r="L7" s="24">
        <f>Composite!K149</f>
        <v>0</v>
      </c>
      <c r="M7" s="44">
        <f>Composite!L149</f>
        <v>0</v>
      </c>
      <c r="N7" s="24">
        <f>Composite!M149</f>
        <v>0</v>
      </c>
      <c r="O7" s="44">
        <f>Composite!N149</f>
        <v>0</v>
      </c>
      <c r="P7" s="24">
        <f>Composite!O149</f>
        <v>0</v>
      </c>
      <c r="Q7" s="44">
        <f>Composite!P149</f>
        <v>0</v>
      </c>
      <c r="R7" s="44" t="str">
        <f>Composite!Q149</f>
        <v/>
      </c>
    </row>
    <row r="8" spans="1:107" ht="25.5">
      <c r="A8" t="s">
        <v>50</v>
      </c>
      <c r="B8" t="str">
        <f t="shared" si="0"/>
        <v>Tier1_garage_HZ1Coolkwh</v>
      </c>
      <c r="C8" s="24" t="str">
        <f>Composite!B150</f>
        <v>Tier1_garage_HZ1</v>
      </c>
      <c r="D8" s="24" t="str">
        <f>Composite!C150</f>
        <v>Coolkwh</v>
      </c>
      <c r="E8" s="44">
        <f>Composite!D150</f>
        <v>0</v>
      </c>
      <c r="F8" s="24">
        <f>Composite!E150</f>
        <v>13</v>
      </c>
      <c r="G8" s="44">
        <f>Composite!F150</f>
        <v>0</v>
      </c>
      <c r="H8" s="44">
        <f>Composite!G150</f>
        <v>0</v>
      </c>
      <c r="I8" s="24" t="str">
        <f>Composite!H150</f>
        <v>ResCACPNW</v>
      </c>
      <c r="J8" s="44">
        <f>Composite!I150</f>
        <v>0</v>
      </c>
      <c r="K8" s="44">
        <f>Composite!J150</f>
        <v>0</v>
      </c>
      <c r="L8" s="24">
        <f>Composite!K150</f>
        <v>0</v>
      </c>
      <c r="M8" s="44">
        <f>Composite!L150</f>
        <v>0</v>
      </c>
      <c r="N8" s="24">
        <f>Composite!M150</f>
        <v>0</v>
      </c>
      <c r="O8" s="44">
        <f>Composite!N150</f>
        <v>0</v>
      </c>
      <c r="P8" s="24">
        <f>Composite!O150</f>
        <v>0</v>
      </c>
      <c r="Q8" s="44">
        <f>Composite!P150</f>
        <v>0</v>
      </c>
      <c r="R8" s="44" t="str">
        <f>Composite!Q150</f>
        <v/>
      </c>
    </row>
    <row r="9" spans="1:107">
      <c r="A9" t="s">
        <v>50</v>
      </c>
      <c r="B9" t="str">
        <f t="shared" si="0"/>
        <v>Tier1_garage_HZ2DHWkwh</v>
      </c>
      <c r="C9" s="24" t="str">
        <f>Composite!B151</f>
        <v>Tier1_garage_HZ2</v>
      </c>
      <c r="D9" s="24" t="str">
        <f>Composite!C151</f>
        <v>DHWkwh</v>
      </c>
      <c r="E9" s="44">
        <f>Composite!D151</f>
        <v>846.8559718231312</v>
      </c>
      <c r="F9" s="24">
        <f>Composite!E151</f>
        <v>13</v>
      </c>
      <c r="G9" s="44">
        <f>Composite!F151</f>
        <v>724.5875237038573</v>
      </c>
      <c r="H9" s="44">
        <f>Composite!G151</f>
        <v>0</v>
      </c>
      <c r="I9" s="24" t="str">
        <f>Composite!H151</f>
        <v>ResDHW</v>
      </c>
      <c r="J9" s="44">
        <f>Composite!I151</f>
        <v>0</v>
      </c>
      <c r="K9" s="44">
        <f>Composite!J151</f>
        <v>0</v>
      </c>
      <c r="L9" s="24">
        <f>Composite!K151</f>
        <v>0</v>
      </c>
      <c r="M9" s="44">
        <f>Composite!L151</f>
        <v>0</v>
      </c>
      <c r="N9" s="24">
        <f>Composite!M151</f>
        <v>0</v>
      </c>
      <c r="O9" s="44">
        <f>Composite!N151</f>
        <v>0</v>
      </c>
      <c r="P9" s="24">
        <f>Composite!O151</f>
        <v>0</v>
      </c>
      <c r="Q9" s="44">
        <f>Composite!P151</f>
        <v>0</v>
      </c>
      <c r="R9" s="44" t="str">
        <f>Composite!Q151</f>
        <v/>
      </c>
    </row>
    <row r="10" spans="1:107" ht="25.5">
      <c r="A10" t="s">
        <v>50</v>
      </c>
      <c r="B10" t="str">
        <f t="shared" si="0"/>
        <v>Tier1_garage_HZ2Heatkwh</v>
      </c>
      <c r="C10" s="24" t="str">
        <f>Composite!B152</f>
        <v>Tier1_garage_HZ2</v>
      </c>
      <c r="D10" s="24" t="str">
        <f>Composite!C152</f>
        <v>Heatkwh</v>
      </c>
      <c r="E10" s="44">
        <f>Composite!D152</f>
        <v>0</v>
      </c>
      <c r="F10" s="24">
        <f>Composite!E152</f>
        <v>13</v>
      </c>
      <c r="G10" s="44">
        <f>Composite!F152</f>
        <v>0</v>
      </c>
      <c r="H10" s="44">
        <f>Composite!G152</f>
        <v>0</v>
      </c>
      <c r="I10" s="24" t="str">
        <f>Composite!H152</f>
        <v>ResSpHtFAFZ2</v>
      </c>
      <c r="J10" s="44">
        <f>Composite!I152</f>
        <v>0</v>
      </c>
      <c r="K10" s="44">
        <f>Composite!J152</f>
        <v>0</v>
      </c>
      <c r="L10" s="24">
        <f>Composite!K152</f>
        <v>0</v>
      </c>
      <c r="M10" s="44">
        <f>Composite!L152</f>
        <v>0</v>
      </c>
      <c r="N10" s="24">
        <f>Composite!M152</f>
        <v>0</v>
      </c>
      <c r="O10" s="44">
        <f>Composite!N152</f>
        <v>0</v>
      </c>
      <c r="P10" s="24">
        <f>Composite!O152</f>
        <v>0</v>
      </c>
      <c r="Q10" s="44">
        <f>Composite!P152</f>
        <v>0</v>
      </c>
      <c r="R10" s="44" t="str">
        <f>Composite!Q152</f>
        <v/>
      </c>
    </row>
    <row r="11" spans="1:107" ht="25.5">
      <c r="A11" t="s">
        <v>50</v>
      </c>
      <c r="B11" t="str">
        <f t="shared" si="0"/>
        <v>Tier1_garage_HZ2Coolkwh</v>
      </c>
      <c r="C11" s="24" t="str">
        <f>Composite!B153</f>
        <v>Tier1_garage_HZ2</v>
      </c>
      <c r="D11" s="24" t="str">
        <f>Composite!C153</f>
        <v>Coolkwh</v>
      </c>
      <c r="E11" s="44">
        <f>Composite!D153</f>
        <v>0</v>
      </c>
      <c r="F11" s="24">
        <f>Composite!E153</f>
        <v>13</v>
      </c>
      <c r="G11" s="44">
        <f>Composite!F153</f>
        <v>0</v>
      </c>
      <c r="H11" s="44">
        <f>Composite!G153</f>
        <v>0</v>
      </c>
      <c r="I11" s="24" t="str">
        <f>Composite!H153</f>
        <v>ResCACPNW</v>
      </c>
      <c r="J11" s="44">
        <f>Composite!I153</f>
        <v>0</v>
      </c>
      <c r="K11" s="44">
        <f>Composite!J153</f>
        <v>0</v>
      </c>
      <c r="L11" s="24">
        <f>Composite!K153</f>
        <v>0</v>
      </c>
      <c r="M11" s="44">
        <f>Composite!L153</f>
        <v>0</v>
      </c>
      <c r="N11" s="24">
        <f>Composite!M153</f>
        <v>0</v>
      </c>
      <c r="O11" s="44">
        <f>Composite!N153</f>
        <v>0</v>
      </c>
      <c r="P11" s="24">
        <f>Composite!O153</f>
        <v>0</v>
      </c>
      <c r="Q11" s="44">
        <f>Composite!P153</f>
        <v>0</v>
      </c>
      <c r="R11" s="44" t="str">
        <f>Composite!Q153</f>
        <v/>
      </c>
    </row>
    <row r="12" spans="1:107">
      <c r="A12" t="s">
        <v>50</v>
      </c>
      <c r="B12" t="str">
        <f t="shared" si="0"/>
        <v>Tier1_garage_HZ3DHWkwh</v>
      </c>
      <c r="C12" s="24" t="str">
        <f>Composite!B154</f>
        <v>Tier1_garage_HZ3</v>
      </c>
      <c r="D12" s="24" t="str">
        <f>Composite!C154</f>
        <v>DHWkwh</v>
      </c>
      <c r="E12" s="44">
        <f>Composite!D154</f>
        <v>708.18500587491906</v>
      </c>
      <c r="F12" s="24">
        <f>Composite!E154</f>
        <v>13</v>
      </c>
      <c r="G12" s="44">
        <f>Composite!F154</f>
        <v>724.5875237038573</v>
      </c>
      <c r="H12" s="44">
        <f>Composite!G154</f>
        <v>0</v>
      </c>
      <c r="I12" s="24" t="str">
        <f>Composite!H154</f>
        <v>ResDHW</v>
      </c>
      <c r="J12" s="44">
        <f>Composite!I154</f>
        <v>0</v>
      </c>
      <c r="K12" s="44">
        <f>Composite!J154</f>
        <v>0</v>
      </c>
      <c r="L12" s="24">
        <f>Composite!K154</f>
        <v>0</v>
      </c>
      <c r="M12" s="44">
        <f>Composite!L154</f>
        <v>0</v>
      </c>
      <c r="N12" s="24">
        <f>Composite!M154</f>
        <v>0</v>
      </c>
      <c r="O12" s="44">
        <f>Composite!N154</f>
        <v>0</v>
      </c>
      <c r="P12" s="24">
        <f>Composite!O154</f>
        <v>0</v>
      </c>
      <c r="Q12" s="44">
        <f>Composite!P154</f>
        <v>0</v>
      </c>
      <c r="R12" s="44" t="str">
        <f>Composite!Q154</f>
        <v/>
      </c>
      <c r="S12" s="41"/>
    </row>
    <row r="13" spans="1:107" ht="25.5">
      <c r="A13" t="s">
        <v>50</v>
      </c>
      <c r="B13" t="str">
        <f t="shared" si="0"/>
        <v>Tier1_garage_HZ3Heatkwh</v>
      </c>
      <c r="C13" s="24" t="str">
        <f>Composite!B155</f>
        <v>Tier1_garage_HZ3</v>
      </c>
      <c r="D13" s="24" t="str">
        <f>Composite!C155</f>
        <v>Heatkwh</v>
      </c>
      <c r="E13" s="44">
        <f>Composite!D155</f>
        <v>0</v>
      </c>
      <c r="F13" s="24">
        <f>Composite!E155</f>
        <v>13</v>
      </c>
      <c r="G13" s="44">
        <f>Composite!F155</f>
        <v>0</v>
      </c>
      <c r="H13" s="44">
        <f>Composite!G155</f>
        <v>0</v>
      </c>
      <c r="I13" s="24" t="str">
        <f>Composite!H155</f>
        <v>ResSpHtFAFZ3</v>
      </c>
      <c r="J13" s="44">
        <f>Composite!I155</f>
        <v>0</v>
      </c>
      <c r="K13" s="44">
        <f>Composite!J155</f>
        <v>0</v>
      </c>
      <c r="L13" s="24">
        <f>Composite!K155</f>
        <v>0</v>
      </c>
      <c r="M13" s="44">
        <f>Composite!L155</f>
        <v>0</v>
      </c>
      <c r="N13" s="24">
        <f>Composite!M155</f>
        <v>0</v>
      </c>
      <c r="O13" s="44">
        <f>Composite!N155</f>
        <v>0</v>
      </c>
      <c r="P13" s="24">
        <f>Composite!O155</f>
        <v>0</v>
      </c>
      <c r="Q13" s="44">
        <f>Composite!P155</f>
        <v>0</v>
      </c>
      <c r="R13" s="44" t="str">
        <f>Composite!Q155</f>
        <v/>
      </c>
      <c r="S13" s="41"/>
    </row>
    <row r="14" spans="1:107" ht="25.5">
      <c r="A14" t="s">
        <v>50</v>
      </c>
      <c r="B14" t="str">
        <f t="shared" si="0"/>
        <v>Tier1_garage_HZ3Coolkwh</v>
      </c>
      <c r="C14" s="24" t="str">
        <f>Composite!B156</f>
        <v>Tier1_garage_HZ3</v>
      </c>
      <c r="D14" s="24" t="str">
        <f>Composite!C156</f>
        <v>Coolkwh</v>
      </c>
      <c r="E14" s="44">
        <f>Composite!D156</f>
        <v>0</v>
      </c>
      <c r="F14" s="24">
        <f>Composite!E156</f>
        <v>13</v>
      </c>
      <c r="G14" s="44">
        <f>Composite!F156</f>
        <v>0</v>
      </c>
      <c r="H14" s="44">
        <f>Composite!G156</f>
        <v>0</v>
      </c>
      <c r="I14" s="24" t="str">
        <f>Composite!H156</f>
        <v>ResCACPNW</v>
      </c>
      <c r="J14" s="44">
        <f>Composite!I156</f>
        <v>0</v>
      </c>
      <c r="K14" s="44">
        <f>Composite!J156</f>
        <v>0</v>
      </c>
      <c r="L14" s="24">
        <f>Composite!K156</f>
        <v>0</v>
      </c>
      <c r="M14" s="44">
        <f>Composite!L156</f>
        <v>0</v>
      </c>
      <c r="N14" s="24">
        <f>Composite!M156</f>
        <v>0</v>
      </c>
      <c r="O14" s="44">
        <f>Composite!N156</f>
        <v>0</v>
      </c>
      <c r="P14" s="24">
        <f>Composite!O156</f>
        <v>0</v>
      </c>
      <c r="Q14" s="44">
        <f>Composite!P156</f>
        <v>0</v>
      </c>
      <c r="R14" s="44" t="str">
        <f>Composite!Q156</f>
        <v/>
      </c>
      <c r="S14" s="41"/>
    </row>
    <row r="15" spans="1:107">
      <c r="A15" t="s">
        <v>50</v>
      </c>
      <c r="B15" t="str">
        <f t="shared" si="0"/>
        <v>Tier1_basmnt_HZ1DHWkwh</v>
      </c>
      <c r="C15" s="24" t="str">
        <f>Composite!B157</f>
        <v>Tier1_basmnt_HZ1</v>
      </c>
      <c r="D15" s="24" t="str">
        <f>Composite!C157</f>
        <v>DHWkwh</v>
      </c>
      <c r="E15" s="44">
        <f>Composite!D157</f>
        <v>1116.4145429490518</v>
      </c>
      <c r="F15" s="24">
        <f>Composite!E157</f>
        <v>13</v>
      </c>
      <c r="G15" s="44">
        <f>Composite!F157</f>
        <v>724.5875237038573</v>
      </c>
      <c r="H15" s="44">
        <f>Composite!G157</f>
        <v>0</v>
      </c>
      <c r="I15" s="24" t="str">
        <f>Composite!H157</f>
        <v>ResDHW</v>
      </c>
      <c r="J15" s="44">
        <f>Composite!I157</f>
        <v>0</v>
      </c>
      <c r="K15" s="44">
        <f>Composite!J157</f>
        <v>0</v>
      </c>
      <c r="L15" s="24">
        <f>Composite!K157</f>
        <v>0</v>
      </c>
      <c r="M15" s="44">
        <f>Composite!L157</f>
        <v>0</v>
      </c>
      <c r="N15" s="24">
        <f>Composite!M157</f>
        <v>0</v>
      </c>
      <c r="O15" s="44">
        <f>Composite!N157</f>
        <v>0</v>
      </c>
      <c r="P15" s="24">
        <f>Composite!O157</f>
        <v>0</v>
      </c>
      <c r="Q15" s="44">
        <f>Composite!P157</f>
        <v>0</v>
      </c>
      <c r="R15" s="44" t="str">
        <f>Composite!Q157</f>
        <v/>
      </c>
      <c r="S15" s="41"/>
    </row>
    <row r="16" spans="1:107" ht="25.5">
      <c r="A16" t="s">
        <v>50</v>
      </c>
      <c r="B16" t="str">
        <f t="shared" si="0"/>
        <v>Tier1_basmnt_HZ1Heatkwh</v>
      </c>
      <c r="C16" s="24" t="str">
        <f>Composite!B158</f>
        <v>Tier1_basmnt_HZ1</v>
      </c>
      <c r="D16" s="24" t="str">
        <f>Composite!C158</f>
        <v>Heatkwh</v>
      </c>
      <c r="E16" s="44">
        <f>Composite!D158</f>
        <v>0</v>
      </c>
      <c r="F16" s="24">
        <f>Composite!E158</f>
        <v>13</v>
      </c>
      <c r="G16" s="44">
        <f>Composite!F158</f>
        <v>0</v>
      </c>
      <c r="H16" s="44">
        <f>Composite!G158</f>
        <v>0</v>
      </c>
      <c r="I16" s="24" t="str">
        <f>Composite!H158</f>
        <v>ResSpHtFAFZ1</v>
      </c>
      <c r="J16" s="44">
        <f>Composite!I158</f>
        <v>0</v>
      </c>
      <c r="K16" s="44">
        <f>Composite!J158</f>
        <v>0</v>
      </c>
      <c r="L16" s="24">
        <f>Composite!K158</f>
        <v>0</v>
      </c>
      <c r="M16" s="44">
        <f>Composite!L158</f>
        <v>0</v>
      </c>
      <c r="N16" s="24">
        <f>Composite!M158</f>
        <v>0</v>
      </c>
      <c r="O16" s="44">
        <f>Composite!N158</f>
        <v>0</v>
      </c>
      <c r="P16" s="24">
        <f>Composite!O158</f>
        <v>0</v>
      </c>
      <c r="Q16" s="44">
        <f>Composite!P158</f>
        <v>0</v>
      </c>
      <c r="R16" s="44" t="str">
        <f>Composite!Q158</f>
        <v/>
      </c>
      <c r="S16" s="41"/>
    </row>
    <row r="17" spans="1:19" ht="25.5">
      <c r="A17" t="s">
        <v>50</v>
      </c>
      <c r="B17" t="str">
        <f t="shared" si="0"/>
        <v>Tier1_basmnt_HZ1Coolkwh</v>
      </c>
      <c r="C17" s="24" t="str">
        <f>Composite!B159</f>
        <v>Tier1_basmnt_HZ1</v>
      </c>
      <c r="D17" s="24" t="str">
        <f>Composite!C159</f>
        <v>Coolkwh</v>
      </c>
      <c r="E17" s="44">
        <f>Composite!D159</f>
        <v>0</v>
      </c>
      <c r="F17" s="24">
        <f>Composite!E159</f>
        <v>13</v>
      </c>
      <c r="G17" s="44">
        <f>Composite!F159</f>
        <v>0</v>
      </c>
      <c r="H17" s="44">
        <f>Composite!G159</f>
        <v>0</v>
      </c>
      <c r="I17" s="24" t="str">
        <f>Composite!H159</f>
        <v>ResCACPNW</v>
      </c>
      <c r="J17" s="44">
        <f>Composite!I159</f>
        <v>0</v>
      </c>
      <c r="K17" s="44">
        <f>Composite!J159</f>
        <v>0</v>
      </c>
      <c r="L17" s="24">
        <f>Composite!K159</f>
        <v>0</v>
      </c>
      <c r="M17" s="44">
        <f>Composite!L159</f>
        <v>0</v>
      </c>
      <c r="N17" s="24">
        <f>Composite!M159</f>
        <v>0</v>
      </c>
      <c r="O17" s="44">
        <f>Composite!N159</f>
        <v>0</v>
      </c>
      <c r="P17" s="24">
        <f>Composite!O159</f>
        <v>0</v>
      </c>
      <c r="Q17" s="44">
        <f>Composite!P159</f>
        <v>0</v>
      </c>
      <c r="R17" s="44" t="str">
        <f>Composite!Q159</f>
        <v/>
      </c>
      <c r="S17" s="41"/>
    </row>
    <row r="18" spans="1:19">
      <c r="A18" t="s">
        <v>50</v>
      </c>
      <c r="B18" t="str">
        <f t="shared" si="0"/>
        <v>Tier1_basmnt_HZ2DHWkwh</v>
      </c>
      <c r="C18" s="24" t="str">
        <f>Composite!B160</f>
        <v>Tier1_basmnt_HZ2</v>
      </c>
      <c r="D18" s="24" t="str">
        <f>Composite!C160</f>
        <v>DHWkwh</v>
      </c>
      <c r="E18" s="44">
        <f>Composite!D160</f>
        <v>1154.5781799953099</v>
      </c>
      <c r="F18" s="24">
        <f>Composite!E160</f>
        <v>13</v>
      </c>
      <c r="G18" s="44">
        <f>Composite!F160</f>
        <v>724.5875237038573</v>
      </c>
      <c r="H18" s="44">
        <f>Composite!G160</f>
        <v>0</v>
      </c>
      <c r="I18" s="24" t="str">
        <f>Composite!H160</f>
        <v>ResDHW</v>
      </c>
      <c r="J18" s="44">
        <f>Composite!I160</f>
        <v>0</v>
      </c>
      <c r="K18" s="44">
        <f>Composite!J160</f>
        <v>0</v>
      </c>
      <c r="L18" s="24">
        <f>Composite!K160</f>
        <v>0</v>
      </c>
      <c r="M18" s="44">
        <f>Composite!L160</f>
        <v>0</v>
      </c>
      <c r="N18" s="24">
        <f>Composite!M160</f>
        <v>0</v>
      </c>
      <c r="O18" s="44">
        <f>Composite!N160</f>
        <v>0</v>
      </c>
      <c r="P18" s="24">
        <f>Composite!O160</f>
        <v>0</v>
      </c>
      <c r="Q18" s="44">
        <f>Composite!P160</f>
        <v>0</v>
      </c>
      <c r="R18" s="44" t="str">
        <f>Composite!Q160</f>
        <v/>
      </c>
      <c r="S18" s="41"/>
    </row>
    <row r="19" spans="1:19" ht="25.5">
      <c r="A19" t="s">
        <v>50</v>
      </c>
      <c r="B19" t="str">
        <f t="shared" si="0"/>
        <v>Tier1_basmnt_HZ2Heatkwh</v>
      </c>
      <c r="C19" s="24" t="str">
        <f>Composite!B161</f>
        <v>Tier1_basmnt_HZ2</v>
      </c>
      <c r="D19" s="24" t="str">
        <f>Composite!C161</f>
        <v>Heatkwh</v>
      </c>
      <c r="E19" s="44">
        <f>Composite!D161</f>
        <v>0</v>
      </c>
      <c r="F19" s="24">
        <f>Composite!E161</f>
        <v>13</v>
      </c>
      <c r="G19" s="44">
        <f>Composite!F161</f>
        <v>0</v>
      </c>
      <c r="H19" s="44">
        <f>Composite!G161</f>
        <v>0</v>
      </c>
      <c r="I19" s="24" t="str">
        <f>Composite!H161</f>
        <v>ResSpHtFAFZ2</v>
      </c>
      <c r="J19" s="44">
        <f>Composite!I161</f>
        <v>0</v>
      </c>
      <c r="K19" s="44">
        <f>Composite!J161</f>
        <v>0</v>
      </c>
      <c r="L19" s="24">
        <f>Composite!K161</f>
        <v>0</v>
      </c>
      <c r="M19" s="44">
        <f>Composite!L161</f>
        <v>0</v>
      </c>
      <c r="N19" s="24">
        <f>Composite!M161</f>
        <v>0</v>
      </c>
      <c r="O19" s="44">
        <f>Composite!N161</f>
        <v>0</v>
      </c>
      <c r="P19" s="24">
        <f>Composite!O161</f>
        <v>0</v>
      </c>
      <c r="Q19" s="44">
        <f>Composite!P161</f>
        <v>0</v>
      </c>
      <c r="R19" s="44" t="str">
        <f>Composite!Q161</f>
        <v/>
      </c>
      <c r="S19" s="41"/>
    </row>
    <row r="20" spans="1:19" ht="25.5">
      <c r="A20" t="s">
        <v>50</v>
      </c>
      <c r="B20" t="str">
        <f t="shared" si="0"/>
        <v>Tier1_basmnt_HZ2Coolkwh</v>
      </c>
      <c r="C20" s="24" t="str">
        <f>Composite!B162</f>
        <v>Tier1_basmnt_HZ2</v>
      </c>
      <c r="D20" s="24" t="str">
        <f>Composite!C162</f>
        <v>Coolkwh</v>
      </c>
      <c r="E20" s="44">
        <f>Composite!D162</f>
        <v>0</v>
      </c>
      <c r="F20" s="24">
        <f>Composite!E162</f>
        <v>13</v>
      </c>
      <c r="G20" s="44">
        <f>Composite!F162</f>
        <v>0</v>
      </c>
      <c r="H20" s="44">
        <f>Composite!G162</f>
        <v>0</v>
      </c>
      <c r="I20" s="24" t="str">
        <f>Composite!H162</f>
        <v>ResCACPNW</v>
      </c>
      <c r="J20" s="44">
        <f>Composite!I162</f>
        <v>0</v>
      </c>
      <c r="K20" s="44">
        <f>Composite!J162</f>
        <v>0</v>
      </c>
      <c r="L20" s="24">
        <f>Composite!K162</f>
        <v>0</v>
      </c>
      <c r="M20" s="44">
        <f>Composite!L162</f>
        <v>0</v>
      </c>
      <c r="N20" s="24">
        <f>Composite!M162</f>
        <v>0</v>
      </c>
      <c r="O20" s="44">
        <f>Composite!N162</f>
        <v>0</v>
      </c>
      <c r="P20" s="24">
        <f>Composite!O162</f>
        <v>0</v>
      </c>
      <c r="Q20" s="44">
        <f>Composite!P162</f>
        <v>0</v>
      </c>
      <c r="R20" s="44" t="str">
        <f>Composite!Q162</f>
        <v/>
      </c>
      <c r="S20" s="41"/>
    </row>
    <row r="21" spans="1:19">
      <c r="A21" t="s">
        <v>50</v>
      </c>
      <c r="B21" t="str">
        <f t="shared" si="0"/>
        <v>Tier1_basmnt_HZ3DHWkwh</v>
      </c>
      <c r="C21" s="24" t="str">
        <f>Composite!B163</f>
        <v>Tier1_basmnt_HZ3</v>
      </c>
      <c r="D21" s="24" t="str">
        <f>Composite!C163</f>
        <v>DHWkwh</v>
      </c>
      <c r="E21" s="44">
        <f>Composite!D163</f>
        <v>1160.5119961063936</v>
      </c>
      <c r="F21" s="24">
        <f>Composite!E163</f>
        <v>13</v>
      </c>
      <c r="G21" s="44">
        <f>Composite!F163</f>
        <v>724.5875237038573</v>
      </c>
      <c r="H21" s="44">
        <f>Composite!G163</f>
        <v>0</v>
      </c>
      <c r="I21" s="24" t="str">
        <f>Composite!H163</f>
        <v>ResDHW</v>
      </c>
      <c r="J21" s="44">
        <f>Composite!I163</f>
        <v>0</v>
      </c>
      <c r="K21" s="44">
        <f>Composite!J163</f>
        <v>0</v>
      </c>
      <c r="L21" s="24">
        <f>Composite!K163</f>
        <v>0</v>
      </c>
      <c r="M21" s="44">
        <f>Composite!L163</f>
        <v>0</v>
      </c>
      <c r="N21" s="24">
        <f>Composite!M163</f>
        <v>0</v>
      </c>
      <c r="O21" s="44">
        <f>Composite!N163</f>
        <v>0</v>
      </c>
      <c r="P21" s="24">
        <f>Composite!O163</f>
        <v>0</v>
      </c>
      <c r="Q21" s="44">
        <f>Composite!P163</f>
        <v>0</v>
      </c>
      <c r="R21" s="44" t="str">
        <f>Composite!Q163</f>
        <v/>
      </c>
      <c r="S21" s="41"/>
    </row>
    <row r="22" spans="1:19" ht="25.5">
      <c r="A22" t="s">
        <v>50</v>
      </c>
      <c r="B22" t="str">
        <f t="shared" si="0"/>
        <v>Tier1_basmnt_HZ3Heatkwh</v>
      </c>
      <c r="C22" s="24" t="str">
        <f>Composite!B164</f>
        <v>Tier1_basmnt_HZ3</v>
      </c>
      <c r="D22" s="24" t="str">
        <f>Composite!C164</f>
        <v>Heatkwh</v>
      </c>
      <c r="E22" s="44">
        <f>Composite!D164</f>
        <v>0</v>
      </c>
      <c r="F22" s="24">
        <f>Composite!E164</f>
        <v>13</v>
      </c>
      <c r="G22" s="44">
        <f>Composite!F164</f>
        <v>0</v>
      </c>
      <c r="H22" s="44">
        <f>Composite!G164</f>
        <v>0</v>
      </c>
      <c r="I22" s="24" t="str">
        <f>Composite!H164</f>
        <v>ResSpHtFAFZ3</v>
      </c>
      <c r="J22" s="44">
        <f>Composite!I164</f>
        <v>0</v>
      </c>
      <c r="K22" s="44">
        <f>Composite!J164</f>
        <v>0</v>
      </c>
      <c r="L22" s="24">
        <f>Composite!K164</f>
        <v>0</v>
      </c>
      <c r="M22" s="44">
        <f>Composite!L164</f>
        <v>0</v>
      </c>
      <c r="N22" s="24">
        <f>Composite!M164</f>
        <v>0</v>
      </c>
      <c r="O22" s="44">
        <f>Composite!N164</f>
        <v>0</v>
      </c>
      <c r="P22" s="24">
        <f>Composite!O164</f>
        <v>0</v>
      </c>
      <c r="Q22" s="44">
        <f>Composite!P164</f>
        <v>0</v>
      </c>
      <c r="R22" s="44" t="str">
        <f>Composite!Q164</f>
        <v/>
      </c>
      <c r="S22" s="41"/>
    </row>
    <row r="23" spans="1:19" ht="25.5">
      <c r="A23" t="s">
        <v>50</v>
      </c>
      <c r="B23" t="str">
        <f t="shared" si="0"/>
        <v>Tier1_basmnt_HZ3Coolkwh</v>
      </c>
      <c r="C23" s="24" t="str">
        <f>Composite!B165</f>
        <v>Tier1_basmnt_HZ3</v>
      </c>
      <c r="D23" s="24" t="str">
        <f>Composite!C165</f>
        <v>Coolkwh</v>
      </c>
      <c r="E23" s="44">
        <f>Composite!D165</f>
        <v>0</v>
      </c>
      <c r="F23" s="24">
        <f>Composite!E165</f>
        <v>13</v>
      </c>
      <c r="G23" s="44">
        <f>Composite!F165</f>
        <v>0</v>
      </c>
      <c r="H23" s="44">
        <f>Composite!G165</f>
        <v>0</v>
      </c>
      <c r="I23" s="24" t="str">
        <f>Composite!H165</f>
        <v>ResCACPNW</v>
      </c>
      <c r="J23" s="44">
        <f>Composite!I165</f>
        <v>0</v>
      </c>
      <c r="K23" s="44">
        <f>Composite!J165</f>
        <v>0</v>
      </c>
      <c r="L23" s="24">
        <f>Composite!K165</f>
        <v>0</v>
      </c>
      <c r="M23" s="44">
        <f>Composite!L165</f>
        <v>0</v>
      </c>
      <c r="N23" s="24">
        <f>Composite!M165</f>
        <v>0</v>
      </c>
      <c r="O23" s="44">
        <f>Composite!N165</f>
        <v>0</v>
      </c>
      <c r="P23" s="24">
        <f>Composite!O165</f>
        <v>0</v>
      </c>
      <c r="Q23" s="44">
        <f>Composite!P165</f>
        <v>0</v>
      </c>
      <c r="R23" s="44" t="str">
        <f>Composite!Q165</f>
        <v/>
      </c>
      <c r="S23" s="41"/>
    </row>
    <row r="24" spans="1:19" ht="24.95" customHeight="1">
      <c r="A24" t="s">
        <v>50</v>
      </c>
      <c r="B24" t="str">
        <f t="shared" si="0"/>
        <v>Tier1_indor2_HZ1_gfncDHWkwh</v>
      </c>
      <c r="C24" s="24" t="str">
        <f>Composite!B166</f>
        <v>Tier1_indor2_HZ1_gfnc</v>
      </c>
      <c r="D24" s="24" t="str">
        <f>Composite!C166</f>
        <v>DHWkwh</v>
      </c>
      <c r="E24" s="44">
        <f>Composite!D166</f>
        <v>1243.8604062944223</v>
      </c>
      <c r="F24" s="24">
        <f>Composite!E166</f>
        <v>13</v>
      </c>
      <c r="G24" s="44">
        <f>Composite!F166</f>
        <v>724.5875237038573</v>
      </c>
      <c r="H24" s="44">
        <f>Composite!G166</f>
        <v>0</v>
      </c>
      <c r="I24" s="24" t="str">
        <f>Composite!H166</f>
        <v>ResDHW</v>
      </c>
      <c r="J24" s="44">
        <f>Composite!I166</f>
        <v>-5.0636600354656078</v>
      </c>
      <c r="K24" s="44">
        <f>Composite!J166</f>
        <v>0</v>
      </c>
      <c r="L24" s="24">
        <f>Composite!K166</f>
        <v>0</v>
      </c>
      <c r="M24" s="44">
        <f>Composite!L166</f>
        <v>0</v>
      </c>
      <c r="N24" s="24">
        <f>Composite!M166</f>
        <v>0</v>
      </c>
      <c r="O24" s="44">
        <f>Composite!N166</f>
        <v>0</v>
      </c>
      <c r="P24" s="24">
        <f>Composite!O166</f>
        <v>0</v>
      </c>
      <c r="Q24" s="44">
        <f>Composite!P166</f>
        <v>0</v>
      </c>
      <c r="R24" s="44" t="str">
        <f>Composite!Q166</f>
        <v/>
      </c>
      <c r="S24" s="41"/>
    </row>
    <row r="25" spans="1:19" ht="24.95" customHeight="1">
      <c r="A25" t="s">
        <v>50</v>
      </c>
      <c r="B25" t="str">
        <f t="shared" si="0"/>
        <v>Tier1_indor2_HZ1_gfncHeatkwh</v>
      </c>
      <c r="C25" s="24" t="str">
        <f>Composite!B167</f>
        <v>Tier1_indor2_HZ1_gfnc</v>
      </c>
      <c r="D25" s="24" t="str">
        <f>Composite!C167</f>
        <v>Heatkwh</v>
      </c>
      <c r="E25" s="44">
        <f>Composite!D167</f>
        <v>-13.070000166581625</v>
      </c>
      <c r="F25" s="24">
        <f>Composite!E167</f>
        <v>13</v>
      </c>
      <c r="G25" s="44">
        <f>Composite!F167</f>
        <v>0</v>
      </c>
      <c r="H25" s="44">
        <f>Composite!G167</f>
        <v>0</v>
      </c>
      <c r="I25" s="24" t="str">
        <f>Composite!H167</f>
        <v>ResSpHtFAFZ1</v>
      </c>
      <c r="J25" s="44">
        <f>Composite!I167</f>
        <v>-5.0636600354656078</v>
      </c>
      <c r="K25" s="44">
        <f>Composite!J167</f>
        <v>0</v>
      </c>
      <c r="L25" s="24">
        <f>Composite!K167</f>
        <v>0</v>
      </c>
      <c r="M25" s="44">
        <f>Composite!L167</f>
        <v>0</v>
      </c>
      <c r="N25" s="24">
        <f>Composite!M167</f>
        <v>0</v>
      </c>
      <c r="O25" s="44">
        <f>Composite!N167</f>
        <v>0</v>
      </c>
      <c r="P25" s="24">
        <f>Composite!O167</f>
        <v>0</v>
      </c>
      <c r="Q25" s="44">
        <f>Composite!P167</f>
        <v>-19.724819855006501</v>
      </c>
      <c r="R25" s="44" t="str">
        <f>Composite!Q167</f>
        <v>ResSpHtFAFZ1</v>
      </c>
      <c r="S25" s="41"/>
    </row>
    <row r="26" spans="1:19" ht="24.95" customHeight="1">
      <c r="A26" t="s">
        <v>50</v>
      </c>
      <c r="B26" t="str">
        <f t="shared" si="0"/>
        <v>Tier1_indor2_HZ1_gfncCoolkwh</v>
      </c>
      <c r="C26" s="24" t="str">
        <f>Composite!B168</f>
        <v>Tier1_indor2_HZ1_gfnc</v>
      </c>
      <c r="D26" s="24" t="str">
        <f>Composite!C168</f>
        <v>Coolkwh</v>
      </c>
      <c r="E26" s="44">
        <f>Composite!D168</f>
        <v>0</v>
      </c>
      <c r="F26" s="24">
        <f>Composite!E168</f>
        <v>13</v>
      </c>
      <c r="G26" s="44">
        <f>Composite!F168</f>
        <v>0</v>
      </c>
      <c r="H26" s="44">
        <f>Composite!G168</f>
        <v>0</v>
      </c>
      <c r="I26" s="24" t="str">
        <f>Composite!H168</f>
        <v>ResCACPNW</v>
      </c>
      <c r="J26" s="44">
        <f>Composite!I168</f>
        <v>-5.0636600354656078</v>
      </c>
      <c r="K26" s="44">
        <f>Composite!J168</f>
        <v>0</v>
      </c>
      <c r="L26" s="24">
        <f>Composite!K168</f>
        <v>0</v>
      </c>
      <c r="M26" s="44">
        <f>Composite!L168</f>
        <v>0</v>
      </c>
      <c r="N26" s="24">
        <f>Composite!M168</f>
        <v>0</v>
      </c>
      <c r="O26" s="44">
        <f>Composite!N168</f>
        <v>0</v>
      </c>
      <c r="P26" s="24">
        <f>Composite!O168</f>
        <v>0</v>
      </c>
      <c r="Q26" s="44">
        <f>Composite!P168</f>
        <v>0</v>
      </c>
      <c r="R26" s="44" t="str">
        <f>Composite!Q168</f>
        <v/>
      </c>
      <c r="S26" s="41"/>
    </row>
    <row r="27" spans="1:19" ht="24.95" customHeight="1">
      <c r="A27" t="s">
        <v>50</v>
      </c>
      <c r="B27" t="str">
        <f t="shared" si="0"/>
        <v>Tier1_indor2_HZ1_gfacDHWkwh</v>
      </c>
      <c r="C27" s="24" t="str">
        <f>Composite!B169</f>
        <v>Tier1_indor2_HZ1_gfac</v>
      </c>
      <c r="D27" s="24" t="str">
        <f>Composite!C169</f>
        <v>DHWkwh</v>
      </c>
      <c r="E27" s="44">
        <f>Composite!D169</f>
        <v>1231.405372006785</v>
      </c>
      <c r="F27" s="24">
        <f>Composite!E169</f>
        <v>13</v>
      </c>
      <c r="G27" s="44">
        <f>Composite!F169</f>
        <v>724.5875237038573</v>
      </c>
      <c r="H27" s="44">
        <f>Composite!G169</f>
        <v>0</v>
      </c>
      <c r="I27" s="24" t="str">
        <f>Composite!H169</f>
        <v>ResDHW</v>
      </c>
      <c r="J27" s="44">
        <f>Composite!I169</f>
        <v>-5.1132419896161725</v>
      </c>
      <c r="K27" s="44">
        <f>Composite!J169</f>
        <v>0</v>
      </c>
      <c r="L27" s="24">
        <f>Composite!K169</f>
        <v>0</v>
      </c>
      <c r="M27" s="44">
        <f>Composite!L169</f>
        <v>0</v>
      </c>
      <c r="N27" s="24">
        <f>Composite!M169</f>
        <v>0</v>
      </c>
      <c r="O27" s="44">
        <f>Composite!N169</f>
        <v>0</v>
      </c>
      <c r="P27" s="24">
        <f>Composite!O169</f>
        <v>0</v>
      </c>
      <c r="Q27" s="44">
        <f>Composite!P169</f>
        <v>0</v>
      </c>
      <c r="R27" s="44" t="str">
        <f>Composite!Q169</f>
        <v/>
      </c>
      <c r="S27" s="41"/>
    </row>
    <row r="28" spans="1:19" ht="24.95" customHeight="1">
      <c r="A28" t="s">
        <v>50</v>
      </c>
      <c r="B28" t="str">
        <f t="shared" si="0"/>
        <v>Tier1_indor2_HZ1_gfacHeatkwh</v>
      </c>
      <c r="C28" s="24" t="str">
        <f>Composite!B170</f>
        <v>Tier1_indor2_HZ1_gfac</v>
      </c>
      <c r="D28" s="24" t="str">
        <f>Composite!C170</f>
        <v>Heatkwh</v>
      </c>
      <c r="E28" s="44">
        <f>Composite!D170</f>
        <v>-14.549592352923362</v>
      </c>
      <c r="F28" s="24">
        <f>Composite!E170</f>
        <v>13</v>
      </c>
      <c r="G28" s="44">
        <f>Composite!F170</f>
        <v>0</v>
      </c>
      <c r="H28" s="44">
        <f>Composite!G170</f>
        <v>0</v>
      </c>
      <c r="I28" s="24" t="str">
        <f>Composite!H170</f>
        <v>ResSpHtFAFZ1</v>
      </c>
      <c r="J28" s="44">
        <f>Composite!I170</f>
        <v>-5.1132419896161725</v>
      </c>
      <c r="K28" s="44">
        <f>Composite!J170</f>
        <v>0</v>
      </c>
      <c r="L28" s="24">
        <f>Composite!K170</f>
        <v>0</v>
      </c>
      <c r="M28" s="44">
        <f>Composite!L170</f>
        <v>0</v>
      </c>
      <c r="N28" s="24">
        <f>Composite!M170</f>
        <v>0</v>
      </c>
      <c r="O28" s="44">
        <f>Composite!N170</f>
        <v>0</v>
      </c>
      <c r="P28" s="24">
        <f>Composite!O170</f>
        <v>0</v>
      </c>
      <c r="Q28" s="44">
        <f>Composite!P170</f>
        <v>-19.866369581760637</v>
      </c>
      <c r="R28" s="44" t="str">
        <f>Composite!Q170</f>
        <v>ResSpHtFAFZ1</v>
      </c>
      <c r="S28" s="41"/>
    </row>
    <row r="29" spans="1:19" ht="24.95" customHeight="1">
      <c r="A29" t="s">
        <v>50</v>
      </c>
      <c r="B29" t="str">
        <f t="shared" si="0"/>
        <v>Tier1_indor2_HZ1_gfacCoolkwh</v>
      </c>
      <c r="C29" s="24" t="str">
        <f>Composite!B171</f>
        <v>Tier1_indor2_HZ1_gfac</v>
      </c>
      <c r="D29" s="24" t="str">
        <f>Composite!C171</f>
        <v>Coolkwh</v>
      </c>
      <c r="E29" s="44">
        <f>Composite!D171</f>
        <v>29.380580089516688</v>
      </c>
      <c r="F29" s="24">
        <f>Composite!E171</f>
        <v>13</v>
      </c>
      <c r="G29" s="44">
        <f>Composite!F171</f>
        <v>0</v>
      </c>
      <c r="H29" s="44">
        <f>Composite!G171</f>
        <v>0</v>
      </c>
      <c r="I29" s="24" t="str">
        <f>Composite!H171</f>
        <v>ResCACPNW</v>
      </c>
      <c r="J29" s="44">
        <f>Composite!I171</f>
        <v>-5.1132419896161725</v>
      </c>
      <c r="K29" s="44">
        <f>Composite!J171</f>
        <v>0</v>
      </c>
      <c r="L29" s="24">
        <f>Composite!K171</f>
        <v>0</v>
      </c>
      <c r="M29" s="44">
        <f>Composite!L171</f>
        <v>0</v>
      </c>
      <c r="N29" s="24">
        <f>Composite!M171</f>
        <v>0</v>
      </c>
      <c r="O29" s="44">
        <f>Composite!N171</f>
        <v>0</v>
      </c>
      <c r="P29" s="24">
        <f>Composite!O171</f>
        <v>0</v>
      </c>
      <c r="Q29" s="44">
        <f>Composite!P171</f>
        <v>0</v>
      </c>
      <c r="R29" s="44" t="str">
        <f>Composite!Q171</f>
        <v/>
      </c>
      <c r="S29" s="41"/>
    </row>
    <row r="30" spans="1:19" ht="24.95" customHeight="1">
      <c r="A30" t="s">
        <v>50</v>
      </c>
      <c r="B30" t="str">
        <f t="shared" si="0"/>
        <v>Tier1_indor2_HZ1_efafDHWkwh</v>
      </c>
      <c r="C30" s="24" t="str">
        <f>Composite!B172</f>
        <v>Tier1_indor2_HZ1_efaf</v>
      </c>
      <c r="D30" s="24" t="str">
        <f>Composite!C172</f>
        <v>DHWkwh</v>
      </c>
      <c r="E30" s="44">
        <f>Composite!D172</f>
        <v>1243.8604062944223</v>
      </c>
      <c r="F30" s="24">
        <f>Composite!E172</f>
        <v>13</v>
      </c>
      <c r="G30" s="44">
        <f>Composite!F172</f>
        <v>724.5875237038573</v>
      </c>
      <c r="H30" s="44">
        <f>Composite!G172</f>
        <v>0</v>
      </c>
      <c r="I30" s="24" t="str">
        <f>Composite!H172</f>
        <v>ResDHW</v>
      </c>
      <c r="J30" s="44">
        <f>Composite!I172</f>
        <v>-3.5688983656613202</v>
      </c>
      <c r="K30" s="44">
        <f>Composite!J172</f>
        <v>0</v>
      </c>
      <c r="L30" s="24">
        <f>Composite!K172</f>
        <v>0</v>
      </c>
      <c r="M30" s="44">
        <f>Composite!L172</f>
        <v>0</v>
      </c>
      <c r="N30" s="24">
        <f>Composite!M172</f>
        <v>0</v>
      </c>
      <c r="O30" s="44">
        <f>Composite!N172</f>
        <v>0</v>
      </c>
      <c r="P30" s="24">
        <f>Composite!O172</f>
        <v>0</v>
      </c>
      <c r="Q30" s="44">
        <f>Composite!P172</f>
        <v>0</v>
      </c>
      <c r="R30" s="44" t="str">
        <f>Composite!Q172</f>
        <v/>
      </c>
      <c r="S30" s="41"/>
    </row>
    <row r="31" spans="1:19" ht="24.95" customHeight="1">
      <c r="A31" t="s">
        <v>50</v>
      </c>
      <c r="B31" t="str">
        <f t="shared" si="0"/>
        <v>Tier1_indor2_HZ1_efafHeatkwh</v>
      </c>
      <c r="C31" s="24" t="str">
        <f>Composite!B173</f>
        <v>Tier1_indor2_HZ1_efaf</v>
      </c>
      <c r="D31" s="24" t="str">
        <f>Composite!C173</f>
        <v>Heatkwh</v>
      </c>
      <c r="E31" s="44">
        <f>Composite!D173</f>
        <v>-351.50921222766476</v>
      </c>
      <c r="F31" s="24">
        <f>Composite!E173</f>
        <v>13</v>
      </c>
      <c r="G31" s="44">
        <f>Composite!F173</f>
        <v>0</v>
      </c>
      <c r="H31" s="44">
        <f>Composite!G173</f>
        <v>0</v>
      </c>
      <c r="I31" s="24" t="str">
        <f>Composite!H173</f>
        <v>ResSpHtFAFZ1</v>
      </c>
      <c r="J31" s="44">
        <f>Composite!I173</f>
        <v>-3.5688983656613202</v>
      </c>
      <c r="K31" s="44">
        <f>Composite!J173</f>
        <v>0</v>
      </c>
      <c r="L31" s="24">
        <f>Composite!K173</f>
        <v>0</v>
      </c>
      <c r="M31" s="44">
        <f>Composite!L173</f>
        <v>0</v>
      </c>
      <c r="N31" s="24">
        <f>Composite!M173</f>
        <v>0</v>
      </c>
      <c r="O31" s="44">
        <f>Composite!N173</f>
        <v>0</v>
      </c>
      <c r="P31" s="24">
        <f>Composite!O173</f>
        <v>0</v>
      </c>
      <c r="Q31" s="44">
        <f>Composite!P173</f>
        <v>-0.83690513245143927</v>
      </c>
      <c r="R31" s="44" t="str">
        <f>Composite!Q173</f>
        <v>ResSpHtFAFZ1</v>
      </c>
      <c r="S31" s="41"/>
    </row>
    <row r="32" spans="1:19" ht="24.95" customHeight="1">
      <c r="A32" t="s">
        <v>50</v>
      </c>
      <c r="B32" t="str">
        <f t="shared" si="0"/>
        <v>Tier1_indor2_HZ1_efafCoolkwh</v>
      </c>
      <c r="C32" s="24" t="str">
        <f>Composite!B174</f>
        <v>Tier1_indor2_HZ1_efaf</v>
      </c>
      <c r="D32" s="24" t="str">
        <f>Composite!C174</f>
        <v>Coolkwh</v>
      </c>
      <c r="E32" s="44">
        <f>Composite!D174</f>
        <v>0</v>
      </c>
      <c r="F32" s="24">
        <f>Composite!E174</f>
        <v>13</v>
      </c>
      <c r="G32" s="44">
        <f>Composite!F174</f>
        <v>0</v>
      </c>
      <c r="H32" s="44">
        <f>Composite!G174</f>
        <v>0</v>
      </c>
      <c r="I32" s="24" t="str">
        <f>Composite!H174</f>
        <v>ResCACPNW</v>
      </c>
      <c r="J32" s="44">
        <f>Composite!I174</f>
        <v>-3.5688983656613202</v>
      </c>
      <c r="K32" s="44">
        <f>Composite!J174</f>
        <v>0</v>
      </c>
      <c r="L32" s="24">
        <f>Composite!K174</f>
        <v>0</v>
      </c>
      <c r="M32" s="44">
        <f>Composite!L174</f>
        <v>0</v>
      </c>
      <c r="N32" s="24">
        <f>Composite!M174</f>
        <v>0</v>
      </c>
      <c r="O32" s="44">
        <f>Composite!N174</f>
        <v>0</v>
      </c>
      <c r="P32" s="24">
        <f>Composite!O174</f>
        <v>0</v>
      </c>
      <c r="Q32" s="44">
        <f>Composite!P174</f>
        <v>0</v>
      </c>
      <c r="R32" s="44" t="str">
        <f>Composite!Q174</f>
        <v/>
      </c>
      <c r="S32" s="41"/>
    </row>
    <row r="33" spans="1:19" ht="24.95" customHeight="1">
      <c r="A33" t="s">
        <v>50</v>
      </c>
      <c r="B33" t="str">
        <f t="shared" si="0"/>
        <v>Tier1_indor2_HZ1_hp85DHWkwh</v>
      </c>
      <c r="C33" s="24" t="str">
        <f>Composite!B175</f>
        <v>Tier1_indor2_HZ1_hp85</v>
      </c>
      <c r="D33" s="24" t="str">
        <f>Composite!C175</f>
        <v>DHWkwh</v>
      </c>
      <c r="E33" s="44">
        <f>Composite!D175</f>
        <v>1231.4161895834602</v>
      </c>
      <c r="F33" s="24">
        <f>Composite!E175</f>
        <v>13</v>
      </c>
      <c r="G33" s="44">
        <f>Composite!F175</f>
        <v>724.5875237038573</v>
      </c>
      <c r="H33" s="44">
        <f>Composite!G175</f>
        <v>0</v>
      </c>
      <c r="I33" s="24" t="str">
        <f>Composite!H175</f>
        <v>ResDHW</v>
      </c>
      <c r="J33" s="44">
        <f>Composite!I175</f>
        <v>-1.7496133081543634</v>
      </c>
      <c r="K33" s="44">
        <f>Composite!J175</f>
        <v>0</v>
      </c>
      <c r="L33" s="24">
        <f>Composite!K175</f>
        <v>0</v>
      </c>
      <c r="M33" s="44">
        <f>Composite!L175</f>
        <v>0</v>
      </c>
      <c r="N33" s="24">
        <f>Composite!M175</f>
        <v>0</v>
      </c>
      <c r="O33" s="44">
        <f>Composite!N175</f>
        <v>0</v>
      </c>
      <c r="P33" s="24">
        <f>Composite!O175</f>
        <v>0</v>
      </c>
      <c r="Q33" s="44">
        <f>Composite!P175</f>
        <v>0</v>
      </c>
      <c r="R33" s="44" t="str">
        <f>Composite!Q175</f>
        <v/>
      </c>
      <c r="S33" s="41"/>
    </row>
    <row r="34" spans="1:19" ht="24.95" customHeight="1">
      <c r="A34" t="s">
        <v>50</v>
      </c>
      <c r="B34" t="str">
        <f t="shared" si="0"/>
        <v>Tier1_indor2_HZ1_hp85Heatkwh</v>
      </c>
      <c r="C34" s="24" t="str">
        <f>Composite!B176</f>
        <v>Tier1_indor2_HZ1_hp85</v>
      </c>
      <c r="D34" s="24" t="str">
        <f>Composite!C176</f>
        <v>Heatkwh</v>
      </c>
      <c r="E34" s="44">
        <f>Composite!D176</f>
        <v>-172.32353870587679</v>
      </c>
      <c r="F34" s="24">
        <f>Composite!E176</f>
        <v>13</v>
      </c>
      <c r="G34" s="44">
        <f>Composite!F176</f>
        <v>0</v>
      </c>
      <c r="H34" s="44">
        <f>Composite!G176</f>
        <v>0</v>
      </c>
      <c r="I34" s="24" t="str">
        <f>Composite!H176</f>
        <v>ResSpHtHPZ1</v>
      </c>
      <c r="J34" s="44">
        <f>Composite!I176</f>
        <v>-1.7496133081543634</v>
      </c>
      <c r="K34" s="44">
        <f>Composite!J176</f>
        <v>0</v>
      </c>
      <c r="L34" s="24">
        <f>Composite!K176</f>
        <v>0</v>
      </c>
      <c r="M34" s="44">
        <f>Composite!L176</f>
        <v>0</v>
      </c>
      <c r="N34" s="24">
        <f>Composite!M176</f>
        <v>0</v>
      </c>
      <c r="O34" s="44">
        <f>Composite!N176</f>
        <v>0</v>
      </c>
      <c r="P34" s="24">
        <f>Composite!O176</f>
        <v>0</v>
      </c>
      <c r="Q34" s="44">
        <f>Composite!P176</f>
        <v>-0.41028356859033155</v>
      </c>
      <c r="R34" s="44" t="str">
        <f>Composite!Q176</f>
        <v>ResSpHtHPZ1</v>
      </c>
      <c r="S34" s="41"/>
    </row>
    <row r="35" spans="1:19" ht="24.95" customHeight="1">
      <c r="A35" t="s">
        <v>50</v>
      </c>
      <c r="B35" t="str">
        <f t="shared" si="0"/>
        <v>Tier1_indor2_HZ1_hp85Coolkwh</v>
      </c>
      <c r="C35" s="24" t="str">
        <f>Composite!B177</f>
        <v>Tier1_indor2_HZ1_hp85</v>
      </c>
      <c r="D35" s="24" t="str">
        <f>Composite!C177</f>
        <v>Coolkwh</v>
      </c>
      <c r="E35" s="44">
        <f>Composite!D177</f>
        <v>29.552677516223916</v>
      </c>
      <c r="F35" s="24">
        <f>Composite!E177</f>
        <v>13</v>
      </c>
      <c r="G35" s="44">
        <f>Composite!F177</f>
        <v>0</v>
      </c>
      <c r="H35" s="44">
        <f>Composite!G177</f>
        <v>0</v>
      </c>
      <c r="I35" s="24" t="str">
        <f>Composite!H177</f>
        <v>ResCACPNW</v>
      </c>
      <c r="J35" s="44">
        <f>Composite!I177</f>
        <v>-1.7496133081543634</v>
      </c>
      <c r="K35" s="44">
        <f>Composite!J177</f>
        <v>0</v>
      </c>
      <c r="L35" s="24">
        <f>Composite!K177</f>
        <v>0</v>
      </c>
      <c r="M35" s="44">
        <f>Composite!L177</f>
        <v>0</v>
      </c>
      <c r="N35" s="24">
        <f>Composite!M177</f>
        <v>0</v>
      </c>
      <c r="O35" s="44">
        <f>Composite!N177</f>
        <v>0</v>
      </c>
      <c r="P35" s="24">
        <f>Composite!O177</f>
        <v>0</v>
      </c>
      <c r="Q35" s="44">
        <f>Composite!P177</f>
        <v>0</v>
      </c>
      <c r="R35" s="44" t="str">
        <f>Composite!Q177</f>
        <v/>
      </c>
      <c r="S35" s="41"/>
    </row>
    <row r="36" spans="1:19" ht="24.95" customHeight="1">
      <c r="A36" t="s">
        <v>50</v>
      </c>
      <c r="B36" t="str">
        <f t="shared" si="0"/>
        <v>Tier1_indor2_HZ1_zonlDHWkwh</v>
      </c>
      <c r="C36" s="24" t="str">
        <f>Composite!B178</f>
        <v>Tier1_indor2_HZ1_zonl</v>
      </c>
      <c r="D36" s="24" t="str">
        <f>Composite!C178</f>
        <v>DHWkwh</v>
      </c>
      <c r="E36" s="44">
        <f>Composite!D178</f>
        <v>1243.8863623993275</v>
      </c>
      <c r="F36" s="24">
        <f>Composite!E178</f>
        <v>13</v>
      </c>
      <c r="G36" s="44">
        <f>Composite!F178</f>
        <v>724.5875237038573</v>
      </c>
      <c r="H36" s="44">
        <f>Composite!G178</f>
        <v>0</v>
      </c>
      <c r="I36" s="24" t="str">
        <f>Composite!H178</f>
        <v>ResDHW</v>
      </c>
      <c r="J36" s="44">
        <f>Composite!I178</f>
        <v>-3.1860342580112393</v>
      </c>
      <c r="K36" s="44">
        <f>Composite!J178</f>
        <v>0</v>
      </c>
      <c r="L36" s="24">
        <f>Composite!K178</f>
        <v>0</v>
      </c>
      <c r="M36" s="44">
        <f>Composite!L178</f>
        <v>0</v>
      </c>
      <c r="N36" s="24">
        <f>Composite!M178</f>
        <v>0</v>
      </c>
      <c r="O36" s="44">
        <f>Composite!N178</f>
        <v>0</v>
      </c>
      <c r="P36" s="24">
        <f>Composite!O178</f>
        <v>0</v>
      </c>
      <c r="Q36" s="44">
        <f>Composite!P178</f>
        <v>0</v>
      </c>
      <c r="R36" s="44" t="str">
        <f>Composite!Q178</f>
        <v/>
      </c>
      <c r="S36" s="41"/>
    </row>
    <row r="37" spans="1:19" ht="24.95" customHeight="1">
      <c r="A37" t="s">
        <v>50</v>
      </c>
      <c r="B37" t="str">
        <f t="shared" si="0"/>
        <v>Tier1_indor2_HZ1_zonlHeatkwh</v>
      </c>
      <c r="C37" s="24" t="str">
        <f>Composite!B179</f>
        <v>Tier1_indor2_HZ1_zonl</v>
      </c>
      <c r="D37" s="24" t="str">
        <f>Composite!C179</f>
        <v>Heatkwh</v>
      </c>
      <c r="E37" s="44">
        <f>Composite!D179</f>
        <v>-313.80002382229816</v>
      </c>
      <c r="F37" s="24">
        <f>Composite!E179</f>
        <v>13</v>
      </c>
      <c r="G37" s="44">
        <f>Composite!F179</f>
        <v>0</v>
      </c>
      <c r="H37" s="44">
        <f>Composite!G179</f>
        <v>0</v>
      </c>
      <c r="I37" s="24" t="str">
        <f>Composite!H179</f>
        <v>ResSpHtBBZ1</v>
      </c>
      <c r="J37" s="44">
        <f>Composite!I179</f>
        <v>-3.1860342580112393</v>
      </c>
      <c r="K37" s="44">
        <f>Composite!J179</f>
        <v>0</v>
      </c>
      <c r="L37" s="24">
        <f>Composite!K179</f>
        <v>0</v>
      </c>
      <c r="M37" s="44">
        <f>Composite!L179</f>
        <v>0</v>
      </c>
      <c r="N37" s="24">
        <f>Composite!M179</f>
        <v>0</v>
      </c>
      <c r="O37" s="44">
        <f>Composite!N179</f>
        <v>0</v>
      </c>
      <c r="P37" s="24">
        <f>Composite!O179</f>
        <v>0</v>
      </c>
      <c r="Q37" s="44">
        <f>Composite!P179</f>
        <v>-0.74712366380364303</v>
      </c>
      <c r="R37" s="44" t="str">
        <f>Composite!Q179</f>
        <v>ResSpHtBBZ1</v>
      </c>
      <c r="S37" s="41"/>
    </row>
    <row r="38" spans="1:19" ht="24.95" customHeight="1">
      <c r="A38" t="s">
        <v>50</v>
      </c>
      <c r="B38" t="str">
        <f t="shared" si="0"/>
        <v>Tier1_indor2_HZ1_zonlCoolkwh</v>
      </c>
      <c r="C38" s="24" t="str">
        <f>Composite!B180</f>
        <v>Tier1_indor2_HZ1_zonl</v>
      </c>
      <c r="D38" s="24" t="str">
        <f>Composite!C180</f>
        <v>Coolkwh</v>
      </c>
      <c r="E38" s="44">
        <f>Composite!D180</f>
        <v>0</v>
      </c>
      <c r="F38" s="24">
        <f>Composite!E180</f>
        <v>13</v>
      </c>
      <c r="G38" s="44">
        <f>Composite!F180</f>
        <v>0</v>
      </c>
      <c r="H38" s="44">
        <f>Composite!G180</f>
        <v>0</v>
      </c>
      <c r="I38" s="24" t="str">
        <f>Composite!H180</f>
        <v>ResCACPNW</v>
      </c>
      <c r="J38" s="44">
        <f>Composite!I180</f>
        <v>-3.1860342580112393</v>
      </c>
      <c r="K38" s="44">
        <f>Composite!J180</f>
        <v>0</v>
      </c>
      <c r="L38" s="24">
        <f>Composite!K180</f>
        <v>0</v>
      </c>
      <c r="M38" s="44">
        <f>Composite!L180</f>
        <v>0</v>
      </c>
      <c r="N38" s="24">
        <f>Composite!M180</f>
        <v>0</v>
      </c>
      <c r="O38" s="44">
        <f>Composite!N180</f>
        <v>0</v>
      </c>
      <c r="P38" s="24">
        <f>Composite!O180</f>
        <v>0</v>
      </c>
      <c r="Q38" s="44">
        <f>Composite!P180</f>
        <v>0</v>
      </c>
      <c r="R38" s="44" t="str">
        <f>Composite!Q180</f>
        <v/>
      </c>
      <c r="S38" s="41"/>
    </row>
    <row r="39" spans="1:19" ht="24.95" customHeight="1">
      <c r="A39" t="s">
        <v>50</v>
      </c>
      <c r="B39" t="str">
        <f t="shared" si="0"/>
        <v>Tier1_indor2_HZ2_gfncDHWkwh</v>
      </c>
      <c r="C39" s="24" t="str">
        <f>Composite!B181</f>
        <v>Tier1_indor2_HZ2_gfnc</v>
      </c>
      <c r="D39" s="24" t="str">
        <f>Composite!C181</f>
        <v>DHWkwh</v>
      </c>
      <c r="E39" s="44">
        <f>Composite!D181</f>
        <v>1310.2363695143879</v>
      </c>
      <c r="F39" s="24">
        <f>Composite!E181</f>
        <v>13</v>
      </c>
      <c r="G39" s="44">
        <f>Composite!F181</f>
        <v>724.5875237038573</v>
      </c>
      <c r="H39" s="44">
        <f>Composite!G181</f>
        <v>0</v>
      </c>
      <c r="I39" s="24" t="str">
        <f>Composite!H181</f>
        <v>ResDHW</v>
      </c>
      <c r="J39" s="44">
        <f>Composite!I181</f>
        <v>-4.6365753722866305</v>
      </c>
      <c r="K39" s="44">
        <f>Composite!J181</f>
        <v>0</v>
      </c>
      <c r="L39" s="24">
        <f>Composite!K181</f>
        <v>0</v>
      </c>
      <c r="M39" s="44">
        <f>Composite!L181</f>
        <v>0</v>
      </c>
      <c r="N39" s="24">
        <f>Composite!M181</f>
        <v>0</v>
      </c>
      <c r="O39" s="44">
        <f>Composite!N181</f>
        <v>0</v>
      </c>
      <c r="P39" s="24">
        <f>Composite!O181</f>
        <v>0</v>
      </c>
      <c r="Q39" s="44">
        <f>Composite!P181</f>
        <v>0</v>
      </c>
      <c r="R39" s="44" t="str">
        <f>Composite!Q181</f>
        <v/>
      </c>
      <c r="S39" s="41"/>
    </row>
    <row r="40" spans="1:19" ht="24.95" customHeight="1">
      <c r="A40" t="s">
        <v>50</v>
      </c>
      <c r="B40" t="str">
        <f t="shared" si="0"/>
        <v>Tier1_indor2_HZ2_gfncHeatkwh</v>
      </c>
      <c r="C40" s="24" t="str">
        <f>Composite!B182</f>
        <v>Tier1_indor2_HZ2_gfnc</v>
      </c>
      <c r="D40" s="24" t="str">
        <f>Composite!C182</f>
        <v>Heatkwh</v>
      </c>
      <c r="E40" s="44">
        <f>Composite!D182</f>
        <v>-12.827895357275422</v>
      </c>
      <c r="F40" s="24">
        <f>Composite!E182</f>
        <v>13</v>
      </c>
      <c r="G40" s="44">
        <f>Composite!F182</f>
        <v>0</v>
      </c>
      <c r="H40" s="44">
        <f>Composite!G182</f>
        <v>0</v>
      </c>
      <c r="I40" s="24" t="str">
        <f>Composite!H182</f>
        <v>ResSpHtFAFZ2</v>
      </c>
      <c r="J40" s="44">
        <f>Composite!I182</f>
        <v>-4.6365753722866305</v>
      </c>
      <c r="K40" s="44">
        <f>Composite!J182</f>
        <v>0</v>
      </c>
      <c r="L40" s="24">
        <f>Composite!K182</f>
        <v>0</v>
      </c>
      <c r="M40" s="44">
        <f>Composite!L182</f>
        <v>0</v>
      </c>
      <c r="N40" s="24">
        <f>Composite!M182</f>
        <v>0</v>
      </c>
      <c r="O40" s="44">
        <f>Composite!N182</f>
        <v>0</v>
      </c>
      <c r="P40" s="24">
        <f>Composite!O182</f>
        <v>0</v>
      </c>
      <c r="Q40" s="44">
        <f>Composite!P182</f>
        <v>-17.66209936662602</v>
      </c>
      <c r="R40" s="44" t="str">
        <f>Composite!Q182</f>
        <v>ResSpHtFAFZ2</v>
      </c>
      <c r="S40" s="41"/>
    </row>
    <row r="41" spans="1:19" ht="24.95" customHeight="1">
      <c r="A41" t="s">
        <v>50</v>
      </c>
      <c r="B41" t="str">
        <f t="shared" si="0"/>
        <v>Tier1_indor2_HZ2_gfncCoolkwh</v>
      </c>
      <c r="C41" s="24" t="str">
        <f>Composite!B183</f>
        <v>Tier1_indor2_HZ2_gfnc</v>
      </c>
      <c r="D41" s="24" t="str">
        <f>Composite!C183</f>
        <v>Coolkwh</v>
      </c>
      <c r="E41" s="44">
        <f>Composite!D183</f>
        <v>0</v>
      </c>
      <c r="F41" s="24">
        <f>Composite!E183</f>
        <v>13</v>
      </c>
      <c r="G41" s="44">
        <f>Composite!F183</f>
        <v>0</v>
      </c>
      <c r="H41" s="44">
        <f>Composite!G183</f>
        <v>0</v>
      </c>
      <c r="I41" s="24" t="str">
        <f>Composite!H183</f>
        <v>ResCACPNW</v>
      </c>
      <c r="J41" s="44">
        <f>Composite!I183</f>
        <v>-4.6365753722866305</v>
      </c>
      <c r="K41" s="44">
        <f>Composite!J183</f>
        <v>0</v>
      </c>
      <c r="L41" s="24">
        <f>Composite!K183</f>
        <v>0</v>
      </c>
      <c r="M41" s="44">
        <f>Composite!L183</f>
        <v>0</v>
      </c>
      <c r="N41" s="24">
        <f>Composite!M183</f>
        <v>0</v>
      </c>
      <c r="O41" s="44">
        <f>Composite!N183</f>
        <v>0</v>
      </c>
      <c r="P41" s="24">
        <f>Composite!O183</f>
        <v>0</v>
      </c>
      <c r="Q41" s="44">
        <f>Composite!P183</f>
        <v>0</v>
      </c>
      <c r="R41" s="44" t="str">
        <f>Composite!Q183</f>
        <v/>
      </c>
      <c r="S41" s="41"/>
    </row>
    <row r="42" spans="1:19" ht="24.95" customHeight="1">
      <c r="A42" t="s">
        <v>50</v>
      </c>
      <c r="B42" t="str">
        <f t="shared" si="0"/>
        <v>Tier1_indor2_HZ2_gfacDHWkwh</v>
      </c>
      <c r="C42" s="24" t="str">
        <f>Composite!B184</f>
        <v>Tier1_indor2_HZ2_gfac</v>
      </c>
      <c r="D42" s="24" t="str">
        <f>Composite!C184</f>
        <v>DHWkwh</v>
      </c>
      <c r="E42" s="44">
        <f>Composite!D184</f>
        <v>1290.711854118596</v>
      </c>
      <c r="F42" s="24">
        <f>Composite!E184</f>
        <v>13</v>
      </c>
      <c r="G42" s="44">
        <f>Composite!F184</f>
        <v>724.5875237038573</v>
      </c>
      <c r="H42" s="44">
        <f>Composite!G184</f>
        <v>0</v>
      </c>
      <c r="I42" s="24" t="str">
        <f>Composite!H184</f>
        <v>ResDHW</v>
      </c>
      <c r="J42" s="44">
        <f>Composite!I184</f>
        <v>-4.6882128078901584</v>
      </c>
      <c r="K42" s="44">
        <f>Composite!J184</f>
        <v>0</v>
      </c>
      <c r="L42" s="24">
        <f>Composite!K184</f>
        <v>0</v>
      </c>
      <c r="M42" s="44">
        <f>Composite!L184</f>
        <v>0</v>
      </c>
      <c r="N42" s="24">
        <f>Composite!M184</f>
        <v>0</v>
      </c>
      <c r="O42" s="44">
        <f>Composite!N184</f>
        <v>0</v>
      </c>
      <c r="P42" s="24">
        <f>Composite!O184</f>
        <v>0</v>
      </c>
      <c r="Q42" s="44">
        <f>Composite!P184</f>
        <v>0</v>
      </c>
      <c r="R42" s="44" t="str">
        <f>Composite!Q184</f>
        <v/>
      </c>
      <c r="S42" s="41"/>
    </row>
    <row r="43" spans="1:19" ht="24.95" customHeight="1">
      <c r="A43" t="s">
        <v>50</v>
      </c>
      <c r="B43" t="str">
        <f t="shared" si="0"/>
        <v>Tier1_indor2_HZ2_gfacHeatkwh</v>
      </c>
      <c r="C43" s="24" t="str">
        <f>Composite!B185</f>
        <v>Tier1_indor2_HZ2_gfac</v>
      </c>
      <c r="D43" s="24" t="str">
        <f>Composite!C185</f>
        <v>Heatkwh</v>
      </c>
      <c r="E43" s="44">
        <f>Composite!D185</f>
        <v>-13.571148677924437</v>
      </c>
      <c r="F43" s="24">
        <f>Composite!E185</f>
        <v>13</v>
      </c>
      <c r="G43" s="44">
        <f>Composite!F185</f>
        <v>0</v>
      </c>
      <c r="H43" s="44">
        <f>Composite!G185</f>
        <v>0</v>
      </c>
      <c r="I43" s="24" t="str">
        <f>Composite!H185</f>
        <v>ResSpHtFAFZ2</v>
      </c>
      <c r="J43" s="44">
        <f>Composite!I185</f>
        <v>-4.6882128078901584</v>
      </c>
      <c r="K43" s="44">
        <f>Composite!J185</f>
        <v>0</v>
      </c>
      <c r="L43" s="24">
        <f>Composite!K185</f>
        <v>0</v>
      </c>
      <c r="M43" s="44">
        <f>Composite!L185</f>
        <v>0</v>
      </c>
      <c r="N43" s="24">
        <f>Composite!M185</f>
        <v>0</v>
      </c>
      <c r="O43" s="44">
        <f>Composite!N185</f>
        <v>0</v>
      </c>
      <c r="P43" s="24">
        <f>Composite!O185</f>
        <v>0</v>
      </c>
      <c r="Q43" s="44">
        <f>Composite!P185</f>
        <v>-17.835808755255901</v>
      </c>
      <c r="R43" s="44" t="str">
        <f>Composite!Q185</f>
        <v>ResSpHtFAFZ2</v>
      </c>
      <c r="S43" s="41"/>
    </row>
    <row r="44" spans="1:19" ht="24.95" customHeight="1">
      <c r="A44" t="s">
        <v>50</v>
      </c>
      <c r="B44" t="str">
        <f t="shared" si="0"/>
        <v>Tier1_indor2_HZ2_gfacCoolkwh</v>
      </c>
      <c r="C44" s="24" t="str">
        <f>Composite!B186</f>
        <v>Tier1_indor2_HZ2_gfac</v>
      </c>
      <c r="D44" s="24" t="str">
        <f>Composite!C186</f>
        <v>Coolkwh</v>
      </c>
      <c r="E44" s="44">
        <f>Composite!D186</f>
        <v>33.129570748535471</v>
      </c>
      <c r="F44" s="24">
        <f>Composite!E186</f>
        <v>13</v>
      </c>
      <c r="G44" s="44">
        <f>Composite!F186</f>
        <v>0</v>
      </c>
      <c r="H44" s="44">
        <f>Composite!G186</f>
        <v>0</v>
      </c>
      <c r="I44" s="24" t="str">
        <f>Composite!H186</f>
        <v>ResCACPNW</v>
      </c>
      <c r="J44" s="44">
        <f>Composite!I186</f>
        <v>-4.6882128078901584</v>
      </c>
      <c r="K44" s="44">
        <f>Composite!J186</f>
        <v>0</v>
      </c>
      <c r="L44" s="24">
        <f>Composite!K186</f>
        <v>0</v>
      </c>
      <c r="M44" s="44">
        <f>Composite!L186</f>
        <v>0</v>
      </c>
      <c r="N44" s="24">
        <f>Composite!M186</f>
        <v>0</v>
      </c>
      <c r="O44" s="44">
        <f>Composite!N186</f>
        <v>0</v>
      </c>
      <c r="P44" s="24">
        <f>Composite!O186</f>
        <v>0</v>
      </c>
      <c r="Q44" s="44">
        <f>Composite!P186</f>
        <v>0</v>
      </c>
      <c r="R44" s="44" t="str">
        <f>Composite!Q186</f>
        <v/>
      </c>
      <c r="S44" s="41"/>
    </row>
    <row r="45" spans="1:19" ht="24.95" customHeight="1">
      <c r="A45" t="s">
        <v>50</v>
      </c>
      <c r="B45" t="str">
        <f t="shared" si="0"/>
        <v>Tier1_indor2_HZ2_efafDHWkwh</v>
      </c>
      <c r="C45" s="24" t="str">
        <f>Composite!B187</f>
        <v>Tier1_indor2_HZ2_efaf</v>
      </c>
      <c r="D45" s="24" t="str">
        <f>Composite!C187</f>
        <v>DHWkwh</v>
      </c>
      <c r="E45" s="44">
        <f>Composite!D187</f>
        <v>1310.2363695143879</v>
      </c>
      <c r="F45" s="24">
        <f>Composite!E187</f>
        <v>13</v>
      </c>
      <c r="G45" s="44">
        <f>Composite!F187</f>
        <v>724.5875237038573</v>
      </c>
      <c r="H45" s="44">
        <f>Composite!G187</f>
        <v>0</v>
      </c>
      <c r="I45" s="24" t="str">
        <f>Composite!H187</f>
        <v>ResDHW</v>
      </c>
      <c r="J45" s="44">
        <f>Composite!I187</f>
        <v>-3.2720615140776217</v>
      </c>
      <c r="K45" s="44">
        <f>Composite!J187</f>
        <v>0</v>
      </c>
      <c r="L45" s="24">
        <f>Composite!K187</f>
        <v>0</v>
      </c>
      <c r="M45" s="44">
        <f>Composite!L187</f>
        <v>0</v>
      </c>
      <c r="N45" s="24">
        <f>Composite!M187</f>
        <v>0</v>
      </c>
      <c r="O45" s="44">
        <f>Composite!N187</f>
        <v>0</v>
      </c>
      <c r="P45" s="24">
        <f>Composite!O187</f>
        <v>0</v>
      </c>
      <c r="Q45" s="44">
        <f>Composite!P187</f>
        <v>0</v>
      </c>
      <c r="R45" s="44" t="str">
        <f>Composite!Q187</f>
        <v/>
      </c>
      <c r="S45" s="41"/>
    </row>
    <row r="46" spans="1:19" ht="24.95" customHeight="1">
      <c r="A46" t="s">
        <v>50</v>
      </c>
      <c r="B46" t="str">
        <f t="shared" si="0"/>
        <v>Tier1_indor2_HZ2_efafHeatkwh</v>
      </c>
      <c r="C46" s="24" t="str">
        <f>Composite!B188</f>
        <v>Tier1_indor2_HZ2_efaf</v>
      </c>
      <c r="D46" s="24" t="str">
        <f>Composite!C188</f>
        <v>Heatkwh</v>
      </c>
      <c r="E46" s="44">
        <f>Composite!D188</f>
        <v>-328.0895056105461</v>
      </c>
      <c r="F46" s="24">
        <f>Composite!E188</f>
        <v>13</v>
      </c>
      <c r="G46" s="44">
        <f>Composite!F188</f>
        <v>0</v>
      </c>
      <c r="H46" s="44">
        <f>Composite!G188</f>
        <v>0</v>
      </c>
      <c r="I46" s="24" t="str">
        <f>Composite!H188</f>
        <v>ResSpHtFAFZ2</v>
      </c>
      <c r="J46" s="44">
        <f>Composite!I188</f>
        <v>-3.2720615140776217</v>
      </c>
      <c r="K46" s="44">
        <f>Composite!J188</f>
        <v>0</v>
      </c>
      <c r="L46" s="24">
        <f>Composite!K188</f>
        <v>0</v>
      </c>
      <c r="M46" s="44">
        <f>Composite!L188</f>
        <v>0</v>
      </c>
      <c r="N46" s="24">
        <f>Composite!M188</f>
        <v>0</v>
      </c>
      <c r="O46" s="44">
        <f>Composite!N188</f>
        <v>0</v>
      </c>
      <c r="P46" s="24">
        <f>Composite!O188</f>
        <v>0</v>
      </c>
      <c r="Q46" s="44">
        <f>Composite!P188</f>
        <v>-0.24615837127711976</v>
      </c>
      <c r="R46" s="44" t="str">
        <f>Composite!Q188</f>
        <v>ResSpHtFAFZ2</v>
      </c>
      <c r="S46" s="41"/>
    </row>
    <row r="47" spans="1:19" ht="24.95" customHeight="1">
      <c r="A47" t="s">
        <v>50</v>
      </c>
      <c r="B47" t="str">
        <f t="shared" si="0"/>
        <v>Tier1_indor2_HZ2_efafCoolkwh</v>
      </c>
      <c r="C47" s="24" t="str">
        <f>Composite!B189</f>
        <v>Tier1_indor2_HZ2_efaf</v>
      </c>
      <c r="D47" s="24" t="str">
        <f>Composite!C189</f>
        <v>Coolkwh</v>
      </c>
      <c r="E47" s="44">
        <f>Composite!D189</f>
        <v>0</v>
      </c>
      <c r="F47" s="24">
        <f>Composite!E189</f>
        <v>13</v>
      </c>
      <c r="G47" s="44">
        <f>Composite!F189</f>
        <v>0</v>
      </c>
      <c r="H47" s="44">
        <f>Composite!G189</f>
        <v>0</v>
      </c>
      <c r="I47" s="24" t="str">
        <f>Composite!H189</f>
        <v>ResCACPNW</v>
      </c>
      <c r="J47" s="44">
        <f>Composite!I189</f>
        <v>-3.2720615140776217</v>
      </c>
      <c r="K47" s="44">
        <f>Composite!J189</f>
        <v>0</v>
      </c>
      <c r="L47" s="24">
        <f>Composite!K189</f>
        <v>0</v>
      </c>
      <c r="M47" s="44">
        <f>Composite!L189</f>
        <v>0</v>
      </c>
      <c r="N47" s="24">
        <f>Composite!M189</f>
        <v>0</v>
      </c>
      <c r="O47" s="44">
        <f>Composite!N189</f>
        <v>0</v>
      </c>
      <c r="P47" s="24">
        <f>Composite!O189</f>
        <v>0</v>
      </c>
      <c r="Q47" s="44">
        <f>Composite!P189</f>
        <v>0</v>
      </c>
      <c r="R47" s="44" t="str">
        <f>Composite!Q189</f>
        <v/>
      </c>
      <c r="S47" s="41"/>
    </row>
    <row r="48" spans="1:19" ht="24.95" customHeight="1">
      <c r="A48" t="s">
        <v>50</v>
      </c>
      <c r="B48" t="str">
        <f t="shared" si="0"/>
        <v>Tier1_indor2_HZ2_hp85DHWkwh</v>
      </c>
      <c r="C48" s="24" t="str">
        <f>Composite!B190</f>
        <v>Tier1_indor2_HZ2_hp85</v>
      </c>
      <c r="D48" s="24" t="str">
        <f>Composite!C190</f>
        <v>DHWkwh</v>
      </c>
      <c r="E48" s="44">
        <f>Composite!D190</f>
        <v>1290.7265967492426</v>
      </c>
      <c r="F48" s="24">
        <f>Composite!E190</f>
        <v>13</v>
      </c>
      <c r="G48" s="44">
        <f>Composite!F190</f>
        <v>724.5875237038573</v>
      </c>
      <c r="H48" s="44">
        <f>Composite!G190</f>
        <v>0</v>
      </c>
      <c r="I48" s="24" t="str">
        <f>Composite!H190</f>
        <v>ResDHW</v>
      </c>
      <c r="J48" s="44">
        <f>Composite!I190</f>
        <v>-2.0996322588157486</v>
      </c>
      <c r="K48" s="44">
        <f>Composite!J190</f>
        <v>0</v>
      </c>
      <c r="L48" s="24">
        <f>Composite!K190</f>
        <v>0</v>
      </c>
      <c r="M48" s="44">
        <f>Composite!L190</f>
        <v>0</v>
      </c>
      <c r="N48" s="24">
        <f>Composite!M190</f>
        <v>0</v>
      </c>
      <c r="O48" s="44">
        <f>Composite!N190</f>
        <v>0</v>
      </c>
      <c r="P48" s="24">
        <f>Composite!O190</f>
        <v>0</v>
      </c>
      <c r="Q48" s="44">
        <f>Composite!P190</f>
        <v>0</v>
      </c>
      <c r="R48" s="44" t="str">
        <f>Composite!Q190</f>
        <v/>
      </c>
      <c r="S48" s="41"/>
    </row>
    <row r="49" spans="1:19" ht="24.95" customHeight="1">
      <c r="A49" t="s">
        <v>50</v>
      </c>
      <c r="B49" t="str">
        <f t="shared" si="0"/>
        <v>Tier1_indor2_HZ2_hp85Heatkwh</v>
      </c>
      <c r="C49" s="24" t="str">
        <f>Composite!B191</f>
        <v>Tier1_indor2_HZ2_hp85</v>
      </c>
      <c r="D49" s="24" t="str">
        <f>Composite!C191</f>
        <v>Heatkwh</v>
      </c>
      <c r="E49" s="44">
        <f>Composite!D191</f>
        <v>-210.53006087906681</v>
      </c>
      <c r="F49" s="24">
        <f>Composite!E191</f>
        <v>13</v>
      </c>
      <c r="G49" s="44">
        <f>Composite!F191</f>
        <v>0</v>
      </c>
      <c r="H49" s="44">
        <f>Composite!G191</f>
        <v>0</v>
      </c>
      <c r="I49" s="24" t="str">
        <f>Composite!H191</f>
        <v>ResSpHtHPZ2</v>
      </c>
      <c r="J49" s="44">
        <f>Composite!I191</f>
        <v>-2.0996322588157486</v>
      </c>
      <c r="K49" s="44">
        <f>Composite!J191</f>
        <v>0</v>
      </c>
      <c r="L49" s="24">
        <f>Composite!K191</f>
        <v>0</v>
      </c>
      <c r="M49" s="44">
        <f>Composite!L191</f>
        <v>0</v>
      </c>
      <c r="N49" s="24">
        <f>Composite!M191</f>
        <v>0</v>
      </c>
      <c r="O49" s="44">
        <f>Composite!N191</f>
        <v>0</v>
      </c>
      <c r="P49" s="24">
        <f>Composite!O191</f>
        <v>0</v>
      </c>
      <c r="Q49" s="44">
        <f>Composite!P191</f>
        <v>-0.15795609431159488</v>
      </c>
      <c r="R49" s="44" t="str">
        <f>Composite!Q191</f>
        <v>ResSpHtHPZ2</v>
      </c>
      <c r="S49" s="41"/>
    </row>
    <row r="50" spans="1:19" ht="24.95" customHeight="1">
      <c r="A50" t="s">
        <v>50</v>
      </c>
      <c r="B50" t="str">
        <f t="shared" si="0"/>
        <v>Tier1_indor2_HZ2_hp85Coolkwh</v>
      </c>
      <c r="C50" s="24" t="str">
        <f>Composite!B192</f>
        <v>Tier1_indor2_HZ2_hp85</v>
      </c>
      <c r="D50" s="24" t="str">
        <f>Composite!C192</f>
        <v>Coolkwh</v>
      </c>
      <c r="E50" s="44">
        <f>Composite!D192</f>
        <v>33.319817172968932</v>
      </c>
      <c r="F50" s="24">
        <f>Composite!E192</f>
        <v>13</v>
      </c>
      <c r="G50" s="44">
        <f>Composite!F192</f>
        <v>0</v>
      </c>
      <c r="H50" s="44">
        <f>Composite!G192</f>
        <v>0</v>
      </c>
      <c r="I50" s="24" t="str">
        <f>Composite!H192</f>
        <v>ResCACPNW</v>
      </c>
      <c r="J50" s="44">
        <f>Composite!I192</f>
        <v>-2.0996322588157486</v>
      </c>
      <c r="K50" s="44">
        <f>Composite!J192</f>
        <v>0</v>
      </c>
      <c r="L50" s="24">
        <f>Composite!K192</f>
        <v>0</v>
      </c>
      <c r="M50" s="44">
        <f>Composite!L192</f>
        <v>0</v>
      </c>
      <c r="N50" s="24">
        <f>Composite!M192</f>
        <v>0</v>
      </c>
      <c r="O50" s="44">
        <f>Composite!N192</f>
        <v>0</v>
      </c>
      <c r="P50" s="24">
        <f>Composite!O192</f>
        <v>0</v>
      </c>
      <c r="Q50" s="44">
        <f>Composite!P192</f>
        <v>0</v>
      </c>
      <c r="R50" s="44" t="str">
        <f>Composite!Q192</f>
        <v/>
      </c>
      <c r="S50" s="41"/>
    </row>
    <row r="51" spans="1:19" ht="24.95" customHeight="1">
      <c r="A51" t="s">
        <v>50</v>
      </c>
      <c r="B51" t="str">
        <f t="shared" si="0"/>
        <v>Tier1_indor2_HZ2_zonlDHWkwh</v>
      </c>
      <c r="C51" s="24" t="str">
        <f>Composite!B193</f>
        <v>Tier1_indor2_HZ2_zonl</v>
      </c>
      <c r="D51" s="24" t="str">
        <f>Composite!C193</f>
        <v>DHWkwh</v>
      </c>
      <c r="E51" s="44">
        <f>Composite!D193</f>
        <v>1309.9202011242153</v>
      </c>
      <c r="F51" s="24">
        <f>Composite!E193</f>
        <v>13</v>
      </c>
      <c r="G51" s="44">
        <f>Composite!F193</f>
        <v>724.5875237038573</v>
      </c>
      <c r="H51" s="44">
        <f>Composite!G193</f>
        <v>0</v>
      </c>
      <c r="I51" s="24" t="str">
        <f>Composite!H193</f>
        <v>ResDHW</v>
      </c>
      <c r="J51" s="44">
        <f>Composite!I193</f>
        <v>-2.9077739556591125</v>
      </c>
      <c r="K51" s="44">
        <f>Composite!J193</f>
        <v>0</v>
      </c>
      <c r="L51" s="24">
        <f>Composite!K193</f>
        <v>0</v>
      </c>
      <c r="M51" s="44">
        <f>Composite!L193</f>
        <v>0</v>
      </c>
      <c r="N51" s="24">
        <f>Composite!M193</f>
        <v>0</v>
      </c>
      <c r="O51" s="44">
        <f>Composite!N193</f>
        <v>0</v>
      </c>
      <c r="P51" s="24">
        <f>Composite!O193</f>
        <v>0</v>
      </c>
      <c r="Q51" s="44">
        <f>Composite!P193</f>
        <v>0</v>
      </c>
      <c r="R51" s="44" t="str">
        <f>Composite!Q193</f>
        <v/>
      </c>
      <c r="S51" s="41"/>
    </row>
    <row r="52" spans="1:19" ht="24.95" customHeight="1">
      <c r="A52" t="s">
        <v>50</v>
      </c>
      <c r="B52" t="str">
        <f t="shared" si="0"/>
        <v>Tier1_indor2_HZ2_zonlHeatkwh</v>
      </c>
      <c r="C52" s="24" t="str">
        <f>Composite!B194</f>
        <v>Tier1_indor2_HZ2_zonl</v>
      </c>
      <c r="D52" s="24" t="str">
        <f>Composite!C194</f>
        <v>Heatkwh</v>
      </c>
      <c r="E52" s="44">
        <f>Composite!D194</f>
        <v>-291.56240352906423</v>
      </c>
      <c r="F52" s="24">
        <f>Composite!E194</f>
        <v>13</v>
      </c>
      <c r="G52" s="44">
        <f>Composite!F194</f>
        <v>0</v>
      </c>
      <c r="H52" s="44">
        <f>Composite!G194</f>
        <v>0</v>
      </c>
      <c r="I52" s="24" t="str">
        <f>Composite!H194</f>
        <v>ResSpHtBBZ2</v>
      </c>
      <c r="J52" s="44">
        <f>Composite!I194</f>
        <v>-2.9077739556591125</v>
      </c>
      <c r="K52" s="44">
        <f>Composite!J194</f>
        <v>0</v>
      </c>
      <c r="L52" s="24">
        <f>Composite!K194</f>
        <v>0</v>
      </c>
      <c r="M52" s="44">
        <f>Composite!L194</f>
        <v>0</v>
      </c>
      <c r="N52" s="24">
        <f>Composite!M194</f>
        <v>0</v>
      </c>
      <c r="O52" s="44">
        <f>Composite!N194</f>
        <v>0</v>
      </c>
      <c r="P52" s="24">
        <f>Composite!O194</f>
        <v>0</v>
      </c>
      <c r="Q52" s="44">
        <f>Composite!P194</f>
        <v>-0.21875288648686911</v>
      </c>
      <c r="R52" s="44" t="str">
        <f>Composite!Q194</f>
        <v>ResSpHtBBZ2</v>
      </c>
      <c r="S52" s="41"/>
    </row>
    <row r="53" spans="1:19" ht="24.95" customHeight="1">
      <c r="A53" t="s">
        <v>50</v>
      </c>
      <c r="B53" t="str">
        <f t="shared" si="0"/>
        <v>Tier1_indor2_HZ2_zonlCoolkwh</v>
      </c>
      <c r="C53" s="24" t="str">
        <f>Composite!B195</f>
        <v>Tier1_indor2_HZ2_zonl</v>
      </c>
      <c r="D53" s="24" t="str">
        <f>Composite!C195</f>
        <v>Coolkwh</v>
      </c>
      <c r="E53" s="44">
        <f>Composite!D195</f>
        <v>0</v>
      </c>
      <c r="F53" s="24">
        <f>Composite!E195</f>
        <v>13</v>
      </c>
      <c r="G53" s="44">
        <f>Composite!F195</f>
        <v>0</v>
      </c>
      <c r="H53" s="44">
        <f>Composite!G195</f>
        <v>0</v>
      </c>
      <c r="I53" s="24" t="str">
        <f>Composite!H195</f>
        <v>ResCACPNW</v>
      </c>
      <c r="J53" s="44">
        <f>Composite!I195</f>
        <v>-2.9077739556591125</v>
      </c>
      <c r="K53" s="44">
        <f>Composite!J195</f>
        <v>0</v>
      </c>
      <c r="L53" s="24">
        <f>Composite!K195</f>
        <v>0</v>
      </c>
      <c r="M53" s="44">
        <f>Composite!L195</f>
        <v>0</v>
      </c>
      <c r="N53" s="24">
        <f>Composite!M195</f>
        <v>0</v>
      </c>
      <c r="O53" s="44">
        <f>Composite!N195</f>
        <v>0</v>
      </c>
      <c r="P53" s="24">
        <f>Composite!O195</f>
        <v>0</v>
      </c>
      <c r="Q53" s="44">
        <f>Composite!P195</f>
        <v>0</v>
      </c>
      <c r="R53" s="44" t="str">
        <f>Composite!Q195</f>
        <v/>
      </c>
      <c r="S53" s="41"/>
    </row>
    <row r="54" spans="1:19" ht="24.95" customHeight="1">
      <c r="A54" t="s">
        <v>50</v>
      </c>
      <c r="B54" t="str">
        <f t="shared" si="0"/>
        <v>Tier1_indor2_HZ3_gfncDHWkwh</v>
      </c>
      <c r="C54" s="24" t="str">
        <f>Composite!B196</f>
        <v>Tier1_indor2_HZ3_gfnc</v>
      </c>
      <c r="D54" s="24" t="str">
        <f>Composite!C196</f>
        <v>DHWkwh</v>
      </c>
      <c r="E54" s="44">
        <f>Composite!D196</f>
        <v>1340.44858307818</v>
      </c>
      <c r="F54" s="24">
        <f>Composite!E196</f>
        <v>13</v>
      </c>
      <c r="G54" s="44">
        <f>Composite!F196</f>
        <v>724.5875237038573</v>
      </c>
      <c r="H54" s="44">
        <f>Composite!G196</f>
        <v>0</v>
      </c>
      <c r="I54" s="24" t="str">
        <f>Composite!H196</f>
        <v>ResDHW</v>
      </c>
      <c r="J54" s="44">
        <f>Composite!I196</f>
        <v>-4.258992974136226</v>
      </c>
      <c r="K54" s="44">
        <f>Composite!J196</f>
        <v>0</v>
      </c>
      <c r="L54" s="24">
        <f>Composite!K196</f>
        <v>0</v>
      </c>
      <c r="M54" s="44">
        <f>Composite!L196</f>
        <v>0</v>
      </c>
      <c r="N54" s="24">
        <f>Composite!M196</f>
        <v>0</v>
      </c>
      <c r="O54" s="44">
        <f>Composite!N196</f>
        <v>0</v>
      </c>
      <c r="P54" s="24">
        <f>Composite!O196</f>
        <v>0</v>
      </c>
      <c r="Q54" s="44">
        <f>Composite!P196</f>
        <v>0</v>
      </c>
      <c r="R54" s="44" t="str">
        <f>Composite!Q196</f>
        <v/>
      </c>
      <c r="S54" s="41"/>
    </row>
    <row r="55" spans="1:19" ht="24.95" customHeight="1">
      <c r="A55" t="s">
        <v>50</v>
      </c>
      <c r="B55" t="str">
        <f t="shared" si="0"/>
        <v>Tier1_indor2_HZ3_gfncHeatkwh</v>
      </c>
      <c r="C55" s="24" t="str">
        <f>Composite!B197</f>
        <v>Tier1_indor2_HZ3_gfnc</v>
      </c>
      <c r="D55" s="24" t="str">
        <f>Composite!C197</f>
        <v>Heatkwh</v>
      </c>
      <c r="E55" s="44">
        <f>Composite!D197</f>
        <v>-11.970880184044759</v>
      </c>
      <c r="F55" s="24">
        <f>Composite!E197</f>
        <v>13</v>
      </c>
      <c r="G55" s="44">
        <f>Composite!F197</f>
        <v>0</v>
      </c>
      <c r="H55" s="44">
        <f>Composite!G197</f>
        <v>0</v>
      </c>
      <c r="I55" s="24" t="str">
        <f>Composite!H197</f>
        <v>ResSpHtFAFZ3</v>
      </c>
      <c r="J55" s="44">
        <f>Composite!I197</f>
        <v>-4.258992974136226</v>
      </c>
      <c r="K55" s="44">
        <f>Composite!J197</f>
        <v>0</v>
      </c>
      <c r="L55" s="24">
        <f>Composite!K197</f>
        <v>0</v>
      </c>
      <c r="M55" s="44">
        <f>Composite!L197</f>
        <v>0</v>
      </c>
      <c r="N55" s="24">
        <f>Composite!M197</f>
        <v>0</v>
      </c>
      <c r="O55" s="44">
        <f>Composite!N197</f>
        <v>0</v>
      </c>
      <c r="P55" s="24">
        <f>Composite!O197</f>
        <v>0</v>
      </c>
      <c r="Q55" s="44">
        <f>Composite!P197</f>
        <v>-16.21658959322032</v>
      </c>
      <c r="R55" s="44" t="str">
        <f>Composite!Q197</f>
        <v>ResSpHtFAFZ3</v>
      </c>
      <c r="S55" s="41"/>
    </row>
    <row r="56" spans="1:19" ht="24.95" customHeight="1">
      <c r="A56" t="s">
        <v>50</v>
      </c>
      <c r="B56" t="str">
        <f t="shared" si="0"/>
        <v>Tier1_indor2_HZ3_gfncCoolkwh</v>
      </c>
      <c r="C56" s="24" t="str">
        <f>Composite!B198</f>
        <v>Tier1_indor2_HZ3_gfnc</v>
      </c>
      <c r="D56" s="24" t="str">
        <f>Composite!C198</f>
        <v>Coolkwh</v>
      </c>
      <c r="E56" s="44">
        <f>Composite!D198</f>
        <v>0</v>
      </c>
      <c r="F56" s="24">
        <f>Composite!E198</f>
        <v>13</v>
      </c>
      <c r="G56" s="44">
        <f>Composite!F198</f>
        <v>0</v>
      </c>
      <c r="H56" s="44">
        <f>Composite!G198</f>
        <v>0</v>
      </c>
      <c r="I56" s="24" t="str">
        <f>Composite!H198</f>
        <v>ResCACPNW</v>
      </c>
      <c r="J56" s="44">
        <f>Composite!I198</f>
        <v>-4.258992974136226</v>
      </c>
      <c r="K56" s="44">
        <f>Composite!J198</f>
        <v>0</v>
      </c>
      <c r="L56" s="24">
        <f>Composite!K198</f>
        <v>0</v>
      </c>
      <c r="M56" s="44">
        <f>Composite!L198</f>
        <v>0</v>
      </c>
      <c r="N56" s="24">
        <f>Composite!M198</f>
        <v>0</v>
      </c>
      <c r="O56" s="44">
        <f>Composite!N198</f>
        <v>0</v>
      </c>
      <c r="P56" s="24">
        <f>Composite!O198</f>
        <v>0</v>
      </c>
      <c r="Q56" s="44">
        <f>Composite!P198</f>
        <v>0</v>
      </c>
      <c r="R56" s="44" t="str">
        <f>Composite!Q198</f>
        <v/>
      </c>
      <c r="S56" s="41"/>
    </row>
    <row r="57" spans="1:19" ht="24.95" customHeight="1">
      <c r="A57" t="s">
        <v>50</v>
      </c>
      <c r="B57" t="str">
        <f t="shared" si="0"/>
        <v>Tier1_indor2_HZ3_gfacDHWkwh</v>
      </c>
      <c r="C57" s="24" t="str">
        <f>Composite!B199</f>
        <v>Tier1_indor2_HZ3_gfac</v>
      </c>
      <c r="D57" s="24" t="str">
        <f>Composite!C199</f>
        <v>DHWkwh</v>
      </c>
      <c r="E57" s="44">
        <f>Composite!D199</f>
        <v>1326.6188989663367</v>
      </c>
      <c r="F57" s="24">
        <f>Composite!E199</f>
        <v>13</v>
      </c>
      <c r="G57" s="44">
        <f>Composite!F199</f>
        <v>724.5875237038573</v>
      </c>
      <c r="H57" s="44">
        <f>Composite!G199</f>
        <v>0</v>
      </c>
      <c r="I57" s="24" t="str">
        <f>Composite!H199</f>
        <v>ResDHW</v>
      </c>
      <c r="J57" s="44">
        <f>Composite!I199</f>
        <v>-4.3286342520108745</v>
      </c>
      <c r="K57" s="44">
        <f>Composite!J199</f>
        <v>0</v>
      </c>
      <c r="L57" s="24">
        <f>Composite!K199</f>
        <v>0</v>
      </c>
      <c r="M57" s="44">
        <f>Composite!L199</f>
        <v>0</v>
      </c>
      <c r="N57" s="24">
        <f>Composite!M199</f>
        <v>0</v>
      </c>
      <c r="O57" s="44">
        <f>Composite!N199</f>
        <v>0</v>
      </c>
      <c r="P57" s="24">
        <f>Composite!O199</f>
        <v>0</v>
      </c>
      <c r="Q57" s="44">
        <f>Composite!P199</f>
        <v>0</v>
      </c>
      <c r="R57" s="44" t="str">
        <f>Composite!Q199</f>
        <v/>
      </c>
      <c r="S57" s="41"/>
    </row>
    <row r="58" spans="1:19" ht="24.95" customHeight="1">
      <c r="A58" t="s">
        <v>50</v>
      </c>
      <c r="B58" t="str">
        <f t="shared" si="0"/>
        <v>Tier1_indor2_HZ3_gfacHeatkwh</v>
      </c>
      <c r="C58" s="24" t="str">
        <f>Composite!B200</f>
        <v>Tier1_indor2_HZ3_gfac</v>
      </c>
      <c r="D58" s="24" t="str">
        <f>Composite!C200</f>
        <v>Heatkwh</v>
      </c>
      <c r="E58" s="44">
        <f>Composite!D200</f>
        <v>-12.493420972743845</v>
      </c>
      <c r="F58" s="24">
        <f>Composite!E200</f>
        <v>13</v>
      </c>
      <c r="G58" s="44">
        <f>Composite!F200</f>
        <v>0</v>
      </c>
      <c r="H58" s="44">
        <f>Composite!G200</f>
        <v>0</v>
      </c>
      <c r="I58" s="24" t="str">
        <f>Composite!H200</f>
        <v>ResSpHtFAFZ3</v>
      </c>
      <c r="J58" s="44">
        <f>Composite!I200</f>
        <v>-4.3286342520108745</v>
      </c>
      <c r="K58" s="44">
        <f>Composite!J200</f>
        <v>0</v>
      </c>
      <c r="L58" s="24">
        <f>Composite!K200</f>
        <v>0</v>
      </c>
      <c r="M58" s="44">
        <f>Composite!L200</f>
        <v>0</v>
      </c>
      <c r="N58" s="24">
        <f>Composite!M200</f>
        <v>0</v>
      </c>
      <c r="O58" s="44">
        <f>Composite!N200</f>
        <v>0</v>
      </c>
      <c r="P58" s="24">
        <f>Composite!O200</f>
        <v>0</v>
      </c>
      <c r="Q58" s="44">
        <f>Composite!P200</f>
        <v>-16.469241178086019</v>
      </c>
      <c r="R58" s="44" t="str">
        <f>Composite!Q200</f>
        <v>ResSpHtFAFZ3</v>
      </c>
      <c r="S58" s="41"/>
    </row>
    <row r="59" spans="1:19" ht="24.95" customHeight="1">
      <c r="A59" t="s">
        <v>50</v>
      </c>
      <c r="B59" t="str">
        <f t="shared" si="0"/>
        <v>Tier1_indor2_HZ3_gfacCoolkwh</v>
      </c>
      <c r="C59" s="24" t="str">
        <f>Composite!B201</f>
        <v>Tier1_indor2_HZ3_gfac</v>
      </c>
      <c r="D59" s="24" t="str">
        <f>Composite!C201</f>
        <v>Coolkwh</v>
      </c>
      <c r="E59" s="44">
        <f>Composite!D201</f>
        <v>35.292250597433956</v>
      </c>
      <c r="F59" s="24">
        <f>Composite!E201</f>
        <v>13</v>
      </c>
      <c r="G59" s="44">
        <f>Composite!F201</f>
        <v>0</v>
      </c>
      <c r="H59" s="44">
        <f>Composite!G201</f>
        <v>0</v>
      </c>
      <c r="I59" s="24" t="str">
        <f>Composite!H201</f>
        <v>ResCACPNW</v>
      </c>
      <c r="J59" s="44">
        <f>Composite!I201</f>
        <v>-4.3286342520108745</v>
      </c>
      <c r="K59" s="44">
        <f>Composite!J201</f>
        <v>0</v>
      </c>
      <c r="L59" s="24">
        <f>Composite!K201</f>
        <v>0</v>
      </c>
      <c r="M59" s="44">
        <f>Composite!L201</f>
        <v>0</v>
      </c>
      <c r="N59" s="24">
        <f>Composite!M201</f>
        <v>0</v>
      </c>
      <c r="O59" s="44">
        <f>Composite!N201</f>
        <v>0</v>
      </c>
      <c r="P59" s="24">
        <f>Composite!O201</f>
        <v>0</v>
      </c>
      <c r="Q59" s="44">
        <f>Composite!P201</f>
        <v>0</v>
      </c>
      <c r="R59" s="44" t="str">
        <f>Composite!Q201</f>
        <v/>
      </c>
      <c r="S59" s="41"/>
    </row>
    <row r="60" spans="1:19" ht="24.95" customHeight="1">
      <c r="A60" t="s">
        <v>50</v>
      </c>
      <c r="B60" t="str">
        <f t="shared" si="0"/>
        <v>Tier1_indor2_HZ3_efafDHWkwh</v>
      </c>
      <c r="C60" s="24" t="str">
        <f>Composite!B202</f>
        <v>Tier1_indor2_HZ3_efaf</v>
      </c>
      <c r="D60" s="24" t="str">
        <f>Composite!C202</f>
        <v>DHWkwh</v>
      </c>
      <c r="E60" s="44">
        <f>Composite!D202</f>
        <v>1340.44858307818</v>
      </c>
      <c r="F60" s="24">
        <f>Composite!E202</f>
        <v>13</v>
      </c>
      <c r="G60" s="44">
        <f>Composite!F202</f>
        <v>724.5875237038573</v>
      </c>
      <c r="H60" s="44">
        <f>Composite!G202</f>
        <v>0</v>
      </c>
      <c r="I60" s="24" t="str">
        <f>Composite!H202</f>
        <v>ResDHW</v>
      </c>
      <c r="J60" s="44">
        <f>Composite!I202</f>
        <v>-3.0001420000773384</v>
      </c>
      <c r="K60" s="44">
        <f>Composite!J202</f>
        <v>0</v>
      </c>
      <c r="L60" s="24">
        <f>Composite!K202</f>
        <v>0</v>
      </c>
      <c r="M60" s="44">
        <f>Composite!L202</f>
        <v>0</v>
      </c>
      <c r="N60" s="24">
        <f>Composite!M202</f>
        <v>0</v>
      </c>
      <c r="O60" s="44">
        <f>Composite!N202</f>
        <v>0</v>
      </c>
      <c r="P60" s="24">
        <f>Composite!O202</f>
        <v>0</v>
      </c>
      <c r="Q60" s="44">
        <f>Composite!P202</f>
        <v>0</v>
      </c>
      <c r="R60" s="44" t="str">
        <f>Composite!Q202</f>
        <v/>
      </c>
      <c r="S60" s="41"/>
    </row>
    <row r="61" spans="1:19" ht="24.95" customHeight="1">
      <c r="A61" t="s">
        <v>50</v>
      </c>
      <c r="B61" t="str">
        <f t="shared" si="0"/>
        <v>Tier1_indor2_HZ3_efafHeatkwh</v>
      </c>
      <c r="C61" s="24" t="str">
        <f>Composite!B203</f>
        <v>Tier1_indor2_HZ3_efaf</v>
      </c>
      <c r="D61" s="24" t="str">
        <f>Composite!C203</f>
        <v>Heatkwh</v>
      </c>
      <c r="E61" s="44">
        <f>Composite!D203</f>
        <v>-300.82414445202835</v>
      </c>
      <c r="F61" s="24">
        <f>Composite!E203</f>
        <v>13</v>
      </c>
      <c r="G61" s="44">
        <f>Composite!F203</f>
        <v>0</v>
      </c>
      <c r="H61" s="44">
        <f>Composite!G203</f>
        <v>0</v>
      </c>
      <c r="I61" s="24" t="str">
        <f>Composite!H203</f>
        <v>ResSpHtFAFZ3</v>
      </c>
      <c r="J61" s="44">
        <f>Composite!I203</f>
        <v>-3.0001420000773384</v>
      </c>
      <c r="K61" s="44">
        <f>Composite!J203</f>
        <v>0</v>
      </c>
      <c r="L61" s="24">
        <f>Composite!K203</f>
        <v>0</v>
      </c>
      <c r="M61" s="44">
        <f>Composite!L203</f>
        <v>0</v>
      </c>
      <c r="N61" s="24">
        <f>Composite!M203</f>
        <v>0</v>
      </c>
      <c r="O61" s="44">
        <f>Composite!N203</f>
        <v>0</v>
      </c>
      <c r="P61" s="24">
        <f>Composite!O203</f>
        <v>0</v>
      </c>
      <c r="Q61" s="44">
        <f>Composite!P203</f>
        <v>-0.22570176787990515</v>
      </c>
      <c r="R61" s="44" t="str">
        <f>Composite!Q203</f>
        <v>ResSpHtFAFZ3</v>
      </c>
      <c r="S61" s="41"/>
    </row>
    <row r="62" spans="1:19" ht="24.95" customHeight="1">
      <c r="A62" t="s">
        <v>50</v>
      </c>
      <c r="B62" t="str">
        <f t="shared" si="0"/>
        <v>Tier1_indor2_HZ3_efafCoolkwh</v>
      </c>
      <c r="C62" s="24" t="str">
        <f>Composite!B204</f>
        <v>Tier1_indor2_HZ3_efaf</v>
      </c>
      <c r="D62" s="24" t="str">
        <f>Composite!C204</f>
        <v>Coolkwh</v>
      </c>
      <c r="E62" s="44">
        <f>Composite!D204</f>
        <v>0</v>
      </c>
      <c r="F62" s="24">
        <f>Composite!E204</f>
        <v>13</v>
      </c>
      <c r="G62" s="44">
        <f>Composite!F204</f>
        <v>0</v>
      </c>
      <c r="H62" s="44">
        <f>Composite!G204</f>
        <v>0</v>
      </c>
      <c r="I62" s="24" t="str">
        <f>Composite!H204</f>
        <v>ResCACPNW</v>
      </c>
      <c r="J62" s="44">
        <f>Composite!I204</f>
        <v>-3.0001420000773384</v>
      </c>
      <c r="K62" s="44">
        <f>Composite!J204</f>
        <v>0</v>
      </c>
      <c r="L62" s="24">
        <f>Composite!K204</f>
        <v>0</v>
      </c>
      <c r="M62" s="44">
        <f>Composite!L204</f>
        <v>0</v>
      </c>
      <c r="N62" s="24">
        <f>Composite!M204</f>
        <v>0</v>
      </c>
      <c r="O62" s="44">
        <f>Composite!N204</f>
        <v>0</v>
      </c>
      <c r="P62" s="24">
        <f>Composite!O204</f>
        <v>0</v>
      </c>
      <c r="Q62" s="44">
        <f>Composite!P204</f>
        <v>0</v>
      </c>
      <c r="R62" s="44" t="str">
        <f>Composite!Q204</f>
        <v/>
      </c>
      <c r="S62" s="41"/>
    </row>
    <row r="63" spans="1:19" ht="24.95" customHeight="1">
      <c r="A63" t="s">
        <v>50</v>
      </c>
      <c r="B63" t="str">
        <f t="shared" si="0"/>
        <v>Tier1_indor2_HZ3_hp85DHWkwh</v>
      </c>
      <c r="C63" s="24" t="str">
        <f>Composite!B205</f>
        <v>Tier1_indor2_HZ3_hp85</v>
      </c>
      <c r="D63" s="24" t="str">
        <f>Composite!C205</f>
        <v>DHWkwh</v>
      </c>
      <c r="E63" s="44">
        <f>Composite!D205</f>
        <v>1326.5331893124023</v>
      </c>
      <c r="F63" s="24">
        <f>Composite!E205</f>
        <v>13</v>
      </c>
      <c r="G63" s="44">
        <f>Composite!F205</f>
        <v>724.5875237038573</v>
      </c>
      <c r="H63" s="44">
        <f>Composite!G205</f>
        <v>0</v>
      </c>
      <c r="I63" s="24" t="str">
        <f>Composite!H205</f>
        <v>ResDHW</v>
      </c>
      <c r="J63" s="44">
        <f>Composite!I205</f>
        <v>-2.1813791972269616</v>
      </c>
      <c r="K63" s="44">
        <f>Composite!J205</f>
        <v>0</v>
      </c>
      <c r="L63" s="24">
        <f>Composite!K205</f>
        <v>0</v>
      </c>
      <c r="M63" s="44">
        <f>Composite!L205</f>
        <v>0</v>
      </c>
      <c r="N63" s="24">
        <f>Composite!M205</f>
        <v>0</v>
      </c>
      <c r="O63" s="44">
        <f>Composite!N205</f>
        <v>0</v>
      </c>
      <c r="P63" s="24">
        <f>Composite!O205</f>
        <v>0</v>
      </c>
      <c r="Q63" s="44">
        <f>Composite!P205</f>
        <v>0</v>
      </c>
      <c r="R63" s="44" t="str">
        <f>Composite!Q205</f>
        <v/>
      </c>
      <c r="S63" s="41"/>
    </row>
    <row r="64" spans="1:19" ht="24.95" customHeight="1">
      <c r="A64" t="s">
        <v>50</v>
      </c>
      <c r="B64" t="str">
        <f t="shared" si="0"/>
        <v>Tier1_indor2_HZ3_hp85Heatkwh</v>
      </c>
      <c r="C64" s="24" t="str">
        <f>Composite!B206</f>
        <v>Tier1_indor2_HZ3_hp85</v>
      </c>
      <c r="D64" s="24" t="str">
        <f>Composite!C206</f>
        <v>Heatkwh</v>
      </c>
      <c r="E64" s="44">
        <f>Composite!D206</f>
        <v>-218.72682383511753</v>
      </c>
      <c r="F64" s="24">
        <f>Composite!E206</f>
        <v>13</v>
      </c>
      <c r="G64" s="44">
        <f>Composite!F206</f>
        <v>0</v>
      </c>
      <c r="H64" s="44">
        <f>Composite!G206</f>
        <v>0</v>
      </c>
      <c r="I64" s="24" t="str">
        <f>Composite!H206</f>
        <v>ResSpHtHPZ3</v>
      </c>
      <c r="J64" s="44">
        <f>Composite!I206</f>
        <v>-2.1813791972269616</v>
      </c>
      <c r="K64" s="44">
        <f>Composite!J206</f>
        <v>0</v>
      </c>
      <c r="L64" s="24">
        <f>Composite!K206</f>
        <v>0</v>
      </c>
      <c r="M64" s="44">
        <f>Composite!L206</f>
        <v>0</v>
      </c>
      <c r="N64" s="24">
        <f>Composite!M206</f>
        <v>0</v>
      </c>
      <c r="O64" s="44">
        <f>Composite!N206</f>
        <v>0</v>
      </c>
      <c r="P64" s="24">
        <f>Composite!O206</f>
        <v>0</v>
      </c>
      <c r="Q64" s="44">
        <f>Composite!P206</f>
        <v>-0.16410594605784717</v>
      </c>
      <c r="R64" s="44" t="str">
        <f>Composite!Q206</f>
        <v>ResSpHtHPZ3</v>
      </c>
      <c r="S64" s="41"/>
    </row>
    <row r="65" spans="1:19" ht="24.95" customHeight="1">
      <c r="A65" t="s">
        <v>50</v>
      </c>
      <c r="B65" t="str">
        <f t="shared" si="0"/>
        <v>Tier1_indor2_HZ3_hp85Coolkwh</v>
      </c>
      <c r="C65" s="24" t="str">
        <f>Composite!B207</f>
        <v>Tier1_indor2_HZ3_hp85</v>
      </c>
      <c r="D65" s="24" t="str">
        <f>Composite!C207</f>
        <v>Coolkwh</v>
      </c>
      <c r="E65" s="44">
        <f>Composite!D207</f>
        <v>35.493788701617497</v>
      </c>
      <c r="F65" s="24">
        <f>Composite!E207</f>
        <v>13</v>
      </c>
      <c r="G65" s="44">
        <f>Composite!F207</f>
        <v>0</v>
      </c>
      <c r="H65" s="44">
        <f>Composite!G207</f>
        <v>0</v>
      </c>
      <c r="I65" s="24" t="str">
        <f>Composite!H207</f>
        <v>ResCACPNW</v>
      </c>
      <c r="J65" s="44">
        <f>Composite!I207</f>
        <v>-2.1813791972269616</v>
      </c>
      <c r="K65" s="44">
        <f>Composite!J207</f>
        <v>0</v>
      </c>
      <c r="L65" s="24">
        <f>Composite!K207</f>
        <v>0</v>
      </c>
      <c r="M65" s="44">
        <f>Composite!L207</f>
        <v>0</v>
      </c>
      <c r="N65" s="24">
        <f>Composite!M207</f>
        <v>0</v>
      </c>
      <c r="O65" s="44">
        <f>Composite!N207</f>
        <v>0</v>
      </c>
      <c r="P65" s="24">
        <f>Composite!O207</f>
        <v>0</v>
      </c>
      <c r="Q65" s="44">
        <f>Composite!P207</f>
        <v>0</v>
      </c>
      <c r="R65" s="44" t="str">
        <f>Composite!Q207</f>
        <v/>
      </c>
      <c r="S65" s="41"/>
    </row>
    <row r="66" spans="1:19" ht="24.95" customHeight="1">
      <c r="A66" t="s">
        <v>50</v>
      </c>
      <c r="B66" t="str">
        <f t="shared" si="0"/>
        <v>Tier1_indor2_HZ3_zonlDHWkwh</v>
      </c>
      <c r="C66" s="24" t="str">
        <f>Composite!B208</f>
        <v>Tier1_indor2_HZ3_zonl</v>
      </c>
      <c r="D66" s="24" t="str">
        <f>Composite!C208</f>
        <v>DHWkwh</v>
      </c>
      <c r="E66" s="44">
        <f>Composite!D208</f>
        <v>1340.4399211661482</v>
      </c>
      <c r="F66" s="24">
        <f>Composite!E208</f>
        <v>13</v>
      </c>
      <c r="G66" s="44">
        <f>Composite!F208</f>
        <v>724.5875237038573</v>
      </c>
      <c r="H66" s="44">
        <f>Composite!G208</f>
        <v>0</v>
      </c>
      <c r="I66" s="24" t="str">
        <f>Composite!H208</f>
        <v>ResDHW</v>
      </c>
      <c r="J66" s="44">
        <f>Composite!I208</f>
        <v>-2.6596515633039379</v>
      </c>
      <c r="K66" s="44">
        <f>Composite!J208</f>
        <v>0</v>
      </c>
      <c r="L66" s="24">
        <f>Composite!K208</f>
        <v>0</v>
      </c>
      <c r="M66" s="44">
        <f>Composite!L208</f>
        <v>0</v>
      </c>
      <c r="N66" s="24">
        <f>Composite!M208</f>
        <v>0</v>
      </c>
      <c r="O66" s="44">
        <f>Composite!N208</f>
        <v>0</v>
      </c>
      <c r="P66" s="24">
        <f>Composite!O208</f>
        <v>0</v>
      </c>
      <c r="Q66" s="44">
        <f>Composite!P208</f>
        <v>0</v>
      </c>
      <c r="R66" s="44" t="str">
        <f>Composite!Q208</f>
        <v/>
      </c>
      <c r="S66" s="41"/>
    </row>
    <row r="67" spans="1:19" ht="24.95" customHeight="1">
      <c r="A67" t="s">
        <v>50</v>
      </c>
      <c r="B67" t="str">
        <f t="shared" si="0"/>
        <v>Tier1_indor2_HZ3_zonlHeatkwh</v>
      </c>
      <c r="C67" s="24" t="str">
        <f>Composite!B209</f>
        <v>Tier1_indor2_HZ3_zonl</v>
      </c>
      <c r="D67" s="24" t="str">
        <f>Composite!C209</f>
        <v>Heatkwh</v>
      </c>
      <c r="E67" s="44">
        <f>Composite!D209</f>
        <v>-266.68317901312065</v>
      </c>
      <c r="F67" s="24">
        <f>Composite!E209</f>
        <v>13</v>
      </c>
      <c r="G67" s="44">
        <f>Composite!F209</f>
        <v>0</v>
      </c>
      <c r="H67" s="44">
        <f>Composite!G209</f>
        <v>0</v>
      </c>
      <c r="I67" s="24" t="str">
        <f>Composite!H209</f>
        <v>ResSpHtBBZ3</v>
      </c>
      <c r="J67" s="44">
        <f>Composite!I209</f>
        <v>-2.6596515633039379</v>
      </c>
      <c r="K67" s="44">
        <f>Composite!J209</f>
        <v>0</v>
      </c>
      <c r="L67" s="24">
        <f>Composite!K209</f>
        <v>0</v>
      </c>
      <c r="M67" s="44">
        <f>Composite!L209</f>
        <v>0</v>
      </c>
      <c r="N67" s="24">
        <f>Composite!M209</f>
        <v>0</v>
      </c>
      <c r="O67" s="44">
        <f>Composite!N209</f>
        <v>0</v>
      </c>
      <c r="P67" s="24">
        <f>Composite!O209</f>
        <v>0</v>
      </c>
      <c r="Q67" s="44">
        <f>Composite!P209</f>
        <v>-0.2000865491589324</v>
      </c>
      <c r="R67" s="44" t="str">
        <f>Composite!Q209</f>
        <v>ResSpHtBBZ3</v>
      </c>
      <c r="S67" s="41"/>
    </row>
    <row r="68" spans="1:19" ht="24.95" customHeight="1">
      <c r="A68" t="s">
        <v>50</v>
      </c>
      <c r="B68" t="str">
        <f t="shared" si="0"/>
        <v>Tier1_indor2_HZ3_zonlCoolkwh</v>
      </c>
      <c r="C68" s="24" t="str">
        <f>Composite!B210</f>
        <v>Tier1_indor2_HZ3_zonl</v>
      </c>
      <c r="D68" s="24" t="str">
        <f>Composite!C210</f>
        <v>Coolkwh</v>
      </c>
      <c r="E68" s="44">
        <f>Composite!D210</f>
        <v>0</v>
      </c>
      <c r="F68" s="24">
        <f>Composite!E210</f>
        <v>13</v>
      </c>
      <c r="G68" s="44">
        <f>Composite!F210</f>
        <v>0</v>
      </c>
      <c r="H68" s="44">
        <f>Composite!G210</f>
        <v>0</v>
      </c>
      <c r="I68" s="24" t="str">
        <f>Composite!H210</f>
        <v>ResCACPNW</v>
      </c>
      <c r="J68" s="44">
        <f>Composite!I210</f>
        <v>-2.6596515633039379</v>
      </c>
      <c r="K68" s="44">
        <f>Composite!J210</f>
        <v>0</v>
      </c>
      <c r="L68" s="24">
        <f>Composite!K210</f>
        <v>0</v>
      </c>
      <c r="M68" s="44">
        <f>Composite!L210</f>
        <v>0</v>
      </c>
      <c r="N68" s="24">
        <f>Composite!M210</f>
        <v>0</v>
      </c>
      <c r="O68" s="44">
        <f>Composite!N210</f>
        <v>0</v>
      </c>
      <c r="P68" s="24">
        <f>Composite!O210</f>
        <v>0</v>
      </c>
      <c r="Q68" s="44">
        <f>Composite!P210</f>
        <v>0</v>
      </c>
      <c r="R68" s="44" t="str">
        <f>Composite!Q210</f>
        <v/>
      </c>
      <c r="S68" s="41"/>
    </row>
    <row r="69" spans="1:19" ht="24.95" customHeight="1">
      <c r="A69" t="s">
        <v>50</v>
      </c>
      <c r="B69" t="str">
        <f t="shared" si="0"/>
        <v>Tier2_garage_HZ1DHWkwh</v>
      </c>
      <c r="C69" s="24" t="str">
        <f>Composite!B211</f>
        <v>Tier2_garage_HZ1</v>
      </c>
      <c r="D69" s="24" t="str">
        <f>Composite!C211</f>
        <v>DHWkwh</v>
      </c>
      <c r="E69" s="44">
        <f>Composite!D211</f>
        <v>203.29701772166254</v>
      </c>
      <c r="F69" s="24">
        <f>Composite!E211</f>
        <v>13</v>
      </c>
      <c r="G69" s="44">
        <f>Composite!F211</f>
        <v>1183.5005381933265</v>
      </c>
      <c r="H69" s="44">
        <f>Composite!G211</f>
        <v>0</v>
      </c>
      <c r="I69" s="24" t="str">
        <f>Composite!H211</f>
        <v>ResDHW</v>
      </c>
      <c r="J69" s="44">
        <f>Composite!I211</f>
        <v>0</v>
      </c>
      <c r="K69" s="44">
        <f>Composite!J211</f>
        <v>0</v>
      </c>
      <c r="L69" s="24">
        <f>Composite!K211</f>
        <v>0</v>
      </c>
      <c r="M69" s="44">
        <f>Composite!L211</f>
        <v>0</v>
      </c>
      <c r="N69" s="24">
        <f>Composite!M211</f>
        <v>0</v>
      </c>
      <c r="O69" s="44">
        <f>Composite!N211</f>
        <v>0</v>
      </c>
      <c r="P69" s="24">
        <f>Composite!O211</f>
        <v>0</v>
      </c>
      <c r="Q69" s="44">
        <f>Composite!P211</f>
        <v>0</v>
      </c>
      <c r="R69" s="44" t="str">
        <f>Composite!Q211</f>
        <v/>
      </c>
      <c r="S69" s="41"/>
    </row>
    <row r="70" spans="1:19" ht="24.95" customHeight="1">
      <c r="A70" t="s">
        <v>50</v>
      </c>
      <c r="B70" t="str">
        <f t="shared" si="0"/>
        <v>Tier2_garage_HZ1Heatkwh</v>
      </c>
      <c r="C70" s="24" t="str">
        <f>Composite!B212</f>
        <v>Tier2_garage_HZ1</v>
      </c>
      <c r="D70" s="24" t="str">
        <f>Composite!C212</f>
        <v>Heatkwh</v>
      </c>
      <c r="E70" s="44">
        <f>Composite!D212</f>
        <v>0</v>
      </c>
      <c r="F70" s="24">
        <f>Composite!E212</f>
        <v>13</v>
      </c>
      <c r="G70" s="44">
        <f>Composite!F212</f>
        <v>0</v>
      </c>
      <c r="H70" s="44">
        <f>Composite!G212</f>
        <v>0</v>
      </c>
      <c r="I70" s="24" t="str">
        <f>Composite!H212</f>
        <v>ResSpHtFAFZ1</v>
      </c>
      <c r="J70" s="44">
        <f>Composite!I212</f>
        <v>0</v>
      </c>
      <c r="K70" s="44">
        <f>Composite!J212</f>
        <v>0</v>
      </c>
      <c r="L70" s="24">
        <f>Composite!K212</f>
        <v>0</v>
      </c>
      <c r="M70" s="44">
        <f>Composite!L212</f>
        <v>0</v>
      </c>
      <c r="N70" s="24">
        <f>Composite!M212</f>
        <v>0</v>
      </c>
      <c r="O70" s="44">
        <f>Composite!N212</f>
        <v>0</v>
      </c>
      <c r="P70" s="24">
        <f>Composite!O212</f>
        <v>0</v>
      </c>
      <c r="Q70" s="44">
        <f>Composite!P212</f>
        <v>0</v>
      </c>
      <c r="R70" s="44" t="str">
        <f>Composite!Q212</f>
        <v/>
      </c>
      <c r="S70" s="41"/>
    </row>
    <row r="71" spans="1:19" ht="24.95" customHeight="1">
      <c r="A71" t="s">
        <v>50</v>
      </c>
      <c r="B71" t="str">
        <f t="shared" ref="B71:B131" si="1">CONCATENATE(C71,D71)</f>
        <v>Tier2_garage_HZ1Coolkwh</v>
      </c>
      <c r="C71" s="24" t="str">
        <f>Composite!B213</f>
        <v>Tier2_garage_HZ1</v>
      </c>
      <c r="D71" s="24" t="str">
        <f>Composite!C213</f>
        <v>Coolkwh</v>
      </c>
      <c r="E71" s="44">
        <f>Composite!D213</f>
        <v>0</v>
      </c>
      <c r="F71" s="24">
        <f>Composite!E213</f>
        <v>13</v>
      </c>
      <c r="G71" s="44">
        <f>Composite!F213</f>
        <v>0</v>
      </c>
      <c r="H71" s="44">
        <f>Composite!G213</f>
        <v>0</v>
      </c>
      <c r="I71" s="24" t="str">
        <f>Composite!H213</f>
        <v>ResCACPNW</v>
      </c>
      <c r="J71" s="44">
        <f>Composite!I213</f>
        <v>0</v>
      </c>
      <c r="K71" s="44">
        <f>Composite!J213</f>
        <v>0</v>
      </c>
      <c r="L71" s="24">
        <f>Composite!K213</f>
        <v>0</v>
      </c>
      <c r="M71" s="44">
        <f>Composite!L213</f>
        <v>0</v>
      </c>
      <c r="N71" s="24">
        <f>Composite!M213</f>
        <v>0</v>
      </c>
      <c r="O71" s="44">
        <f>Composite!N213</f>
        <v>0</v>
      </c>
      <c r="P71" s="24">
        <f>Composite!O213</f>
        <v>0</v>
      </c>
      <c r="Q71" s="44">
        <f>Composite!P213</f>
        <v>0</v>
      </c>
      <c r="R71" s="44" t="str">
        <f>Composite!Q213</f>
        <v/>
      </c>
      <c r="S71" s="41"/>
    </row>
    <row r="72" spans="1:19" ht="24.95" customHeight="1">
      <c r="A72" t="s">
        <v>50</v>
      </c>
      <c r="B72" t="str">
        <f t="shared" si="1"/>
        <v>Tier2_garage_HZ2DHWkwh</v>
      </c>
      <c r="C72" s="24" t="str">
        <f>Composite!B214</f>
        <v>Tier2_garage_HZ2</v>
      </c>
      <c r="D72" s="24" t="str">
        <f>Composite!C214</f>
        <v>DHWkwh</v>
      </c>
      <c r="E72" s="44">
        <f>Composite!D214</f>
        <v>405.41692570786734</v>
      </c>
      <c r="F72" s="24">
        <f>Composite!E214</f>
        <v>13</v>
      </c>
      <c r="G72" s="44">
        <f>Composite!F214</f>
        <v>1183.5005381933265</v>
      </c>
      <c r="H72" s="44">
        <f>Composite!G214</f>
        <v>0</v>
      </c>
      <c r="I72" s="24" t="str">
        <f>Composite!H214</f>
        <v>ResDHW</v>
      </c>
      <c r="J72" s="44">
        <f>Composite!I214</f>
        <v>0</v>
      </c>
      <c r="K72" s="44">
        <f>Composite!J214</f>
        <v>0</v>
      </c>
      <c r="L72" s="24">
        <f>Composite!K214</f>
        <v>0</v>
      </c>
      <c r="M72" s="44">
        <f>Composite!L214</f>
        <v>0</v>
      </c>
      <c r="N72" s="24">
        <f>Composite!M214</f>
        <v>0</v>
      </c>
      <c r="O72" s="44">
        <f>Composite!N214</f>
        <v>0</v>
      </c>
      <c r="P72" s="24">
        <f>Composite!O214</f>
        <v>0</v>
      </c>
      <c r="Q72" s="44">
        <f>Composite!P214</f>
        <v>0</v>
      </c>
      <c r="R72" s="44" t="str">
        <f>Composite!Q214</f>
        <v/>
      </c>
      <c r="S72" s="41"/>
    </row>
    <row r="73" spans="1:19" ht="24.95" customHeight="1">
      <c r="A73" t="s">
        <v>50</v>
      </c>
      <c r="B73" t="str">
        <f t="shared" si="1"/>
        <v>Tier2_garage_HZ2Heatkwh</v>
      </c>
      <c r="C73" s="24" t="str">
        <f>Composite!B215</f>
        <v>Tier2_garage_HZ2</v>
      </c>
      <c r="D73" s="24" t="str">
        <f>Composite!C215</f>
        <v>Heatkwh</v>
      </c>
      <c r="E73" s="44">
        <f>Composite!D215</f>
        <v>0</v>
      </c>
      <c r="F73" s="24">
        <f>Composite!E215</f>
        <v>13</v>
      </c>
      <c r="G73" s="44">
        <f>Composite!F215</f>
        <v>0</v>
      </c>
      <c r="H73" s="44">
        <f>Composite!G215</f>
        <v>0</v>
      </c>
      <c r="I73" s="24" t="str">
        <f>Composite!H215</f>
        <v>ResSpHtFAFZ2</v>
      </c>
      <c r="J73" s="44">
        <f>Composite!I215</f>
        <v>0</v>
      </c>
      <c r="K73" s="44">
        <f>Composite!J215</f>
        <v>0</v>
      </c>
      <c r="L73" s="24">
        <f>Composite!K215</f>
        <v>0</v>
      </c>
      <c r="M73" s="44">
        <f>Composite!L215</f>
        <v>0</v>
      </c>
      <c r="N73" s="24">
        <f>Composite!M215</f>
        <v>0</v>
      </c>
      <c r="O73" s="44">
        <f>Composite!N215</f>
        <v>0</v>
      </c>
      <c r="P73" s="24">
        <f>Composite!O215</f>
        <v>0</v>
      </c>
      <c r="Q73" s="44">
        <f>Composite!P215</f>
        <v>0</v>
      </c>
      <c r="R73" s="44" t="str">
        <f>Composite!Q215</f>
        <v/>
      </c>
      <c r="S73" s="41"/>
    </row>
    <row r="74" spans="1:19" ht="24.95" customHeight="1">
      <c r="A74" t="s">
        <v>50</v>
      </c>
      <c r="B74" t="str">
        <f t="shared" si="1"/>
        <v>Tier2_garage_HZ2Coolkwh</v>
      </c>
      <c r="C74" s="24" t="str">
        <f>Composite!B216</f>
        <v>Tier2_garage_HZ2</v>
      </c>
      <c r="D74" s="24" t="str">
        <f>Composite!C216</f>
        <v>Coolkwh</v>
      </c>
      <c r="E74" s="44">
        <f>Composite!D216</f>
        <v>0</v>
      </c>
      <c r="F74" s="24">
        <f>Composite!E216</f>
        <v>13</v>
      </c>
      <c r="G74" s="44">
        <f>Composite!F216</f>
        <v>0</v>
      </c>
      <c r="H74" s="44">
        <f>Composite!G216</f>
        <v>0</v>
      </c>
      <c r="I74" s="24" t="str">
        <f>Composite!H216</f>
        <v>ResCACPNW</v>
      </c>
      <c r="J74" s="44">
        <f>Composite!I216</f>
        <v>0</v>
      </c>
      <c r="K74" s="44">
        <f>Composite!J216</f>
        <v>0</v>
      </c>
      <c r="L74" s="24">
        <f>Composite!K216</f>
        <v>0</v>
      </c>
      <c r="M74" s="44">
        <f>Composite!L216</f>
        <v>0</v>
      </c>
      <c r="N74" s="24">
        <f>Composite!M216</f>
        <v>0</v>
      </c>
      <c r="O74" s="44">
        <f>Composite!N216</f>
        <v>0</v>
      </c>
      <c r="P74" s="24">
        <f>Composite!O216</f>
        <v>0</v>
      </c>
      <c r="Q74" s="44">
        <f>Composite!P216</f>
        <v>0</v>
      </c>
      <c r="R74" s="44" t="str">
        <f>Composite!Q216</f>
        <v/>
      </c>
      <c r="S74" s="41"/>
    </row>
    <row r="75" spans="1:19" ht="24.95" customHeight="1">
      <c r="A75" t="s">
        <v>50</v>
      </c>
      <c r="B75" t="str">
        <f t="shared" si="1"/>
        <v>Tier2_garage_HZ3DHWkwh</v>
      </c>
      <c r="C75" s="24" t="str">
        <f>Composite!B217</f>
        <v>Tier2_garage_HZ3</v>
      </c>
      <c r="D75" s="24" t="str">
        <f>Composite!C217</f>
        <v>DHWkwh</v>
      </c>
      <c r="E75" s="44">
        <f>Composite!D217</f>
        <v>579.20238702396148</v>
      </c>
      <c r="F75" s="24">
        <f>Composite!E217</f>
        <v>13</v>
      </c>
      <c r="G75" s="44">
        <f>Composite!F217</f>
        <v>1183.5005381933265</v>
      </c>
      <c r="H75" s="44">
        <f>Composite!G217</f>
        <v>0</v>
      </c>
      <c r="I75" s="24" t="str">
        <f>Composite!H217</f>
        <v>ResDHW</v>
      </c>
      <c r="J75" s="44">
        <f>Composite!I217</f>
        <v>0</v>
      </c>
      <c r="K75" s="44">
        <f>Composite!J217</f>
        <v>0</v>
      </c>
      <c r="L75" s="24">
        <f>Composite!K217</f>
        <v>0</v>
      </c>
      <c r="M75" s="44">
        <f>Composite!L217</f>
        <v>0</v>
      </c>
      <c r="N75" s="24">
        <f>Composite!M217</f>
        <v>0</v>
      </c>
      <c r="O75" s="44">
        <f>Composite!N217</f>
        <v>0</v>
      </c>
      <c r="P75" s="24">
        <f>Composite!O217</f>
        <v>0</v>
      </c>
      <c r="Q75" s="44">
        <f>Composite!P217</f>
        <v>0</v>
      </c>
      <c r="R75" s="44" t="str">
        <f>Composite!Q217</f>
        <v/>
      </c>
      <c r="S75" s="41"/>
    </row>
    <row r="76" spans="1:19" ht="25.5">
      <c r="A76" t="s">
        <v>50</v>
      </c>
      <c r="B76" t="str">
        <f t="shared" si="1"/>
        <v>Tier2_garage_HZ3Heatkwh</v>
      </c>
      <c r="C76" s="24" t="str">
        <f>Composite!B218</f>
        <v>Tier2_garage_HZ3</v>
      </c>
      <c r="D76" s="24" t="str">
        <f>Composite!C218</f>
        <v>Heatkwh</v>
      </c>
      <c r="E76" s="44">
        <f>Composite!D218</f>
        <v>0</v>
      </c>
      <c r="F76" s="24">
        <f>Composite!E218</f>
        <v>13</v>
      </c>
      <c r="G76" s="44">
        <f>Composite!F218</f>
        <v>0</v>
      </c>
      <c r="H76" s="44">
        <f>Composite!G218</f>
        <v>0</v>
      </c>
      <c r="I76" s="24" t="str">
        <f>Composite!H218</f>
        <v>ResSpHtFAFZ3</v>
      </c>
      <c r="J76" s="44">
        <f>Composite!I218</f>
        <v>0</v>
      </c>
      <c r="K76" s="44">
        <f>Composite!J218</f>
        <v>0</v>
      </c>
      <c r="L76" s="24">
        <f>Composite!K218</f>
        <v>0</v>
      </c>
      <c r="M76" s="44">
        <f>Composite!L218</f>
        <v>0</v>
      </c>
      <c r="N76" s="24">
        <f>Composite!M218</f>
        <v>0</v>
      </c>
      <c r="O76" s="44">
        <f>Composite!N218</f>
        <v>0</v>
      </c>
      <c r="P76" s="24">
        <f>Composite!O218</f>
        <v>0</v>
      </c>
      <c r="Q76" s="44">
        <f>Composite!P218</f>
        <v>0</v>
      </c>
      <c r="R76" s="44" t="str">
        <f>Composite!Q218</f>
        <v/>
      </c>
    </row>
    <row r="77" spans="1:19" ht="25.5">
      <c r="A77" t="s">
        <v>50</v>
      </c>
      <c r="B77" t="str">
        <f t="shared" si="1"/>
        <v>Tier2_garage_HZ3Coolkwh</v>
      </c>
      <c r="C77" s="24" t="str">
        <f>Composite!B219</f>
        <v>Tier2_garage_HZ3</v>
      </c>
      <c r="D77" s="24" t="str">
        <f>Composite!C219</f>
        <v>Coolkwh</v>
      </c>
      <c r="E77" s="44">
        <f>Composite!D219</f>
        <v>0</v>
      </c>
      <c r="F77" s="24">
        <f>Composite!E219</f>
        <v>13</v>
      </c>
      <c r="G77" s="44">
        <f>Composite!F219</f>
        <v>0</v>
      </c>
      <c r="H77" s="44">
        <f>Composite!G219</f>
        <v>0</v>
      </c>
      <c r="I77" s="24" t="str">
        <f>Composite!H219</f>
        <v>ResCACPNW</v>
      </c>
      <c r="J77" s="44">
        <f>Composite!I219</f>
        <v>0</v>
      </c>
      <c r="K77" s="44">
        <f>Composite!J219</f>
        <v>0</v>
      </c>
      <c r="L77" s="24">
        <f>Composite!K219</f>
        <v>0</v>
      </c>
      <c r="M77" s="44">
        <f>Composite!L219</f>
        <v>0</v>
      </c>
      <c r="N77" s="24">
        <f>Composite!M219</f>
        <v>0</v>
      </c>
      <c r="O77" s="44">
        <f>Composite!N219</f>
        <v>0</v>
      </c>
      <c r="P77" s="24">
        <f>Composite!O219</f>
        <v>0</v>
      </c>
      <c r="Q77" s="44">
        <f>Composite!P219</f>
        <v>0</v>
      </c>
      <c r="R77" s="44" t="str">
        <f>Composite!Q219</f>
        <v/>
      </c>
    </row>
    <row r="78" spans="1:19">
      <c r="A78" t="s">
        <v>50</v>
      </c>
      <c r="B78" t="str">
        <f t="shared" si="1"/>
        <v>Tier2_basmnt_HZ1DHWkwh</v>
      </c>
      <c r="C78" s="24" t="str">
        <f>Composite!B220</f>
        <v>Tier2_basmnt_HZ1</v>
      </c>
      <c r="D78" s="24" t="str">
        <f>Composite!C220</f>
        <v>DHWkwh</v>
      </c>
      <c r="E78" s="44">
        <f>Composite!D220</f>
        <v>106.769713342552</v>
      </c>
      <c r="F78" s="24">
        <f>Composite!E220</f>
        <v>13</v>
      </c>
      <c r="G78" s="44">
        <f>Composite!F220</f>
        <v>1183.5005381933265</v>
      </c>
      <c r="H78" s="44">
        <f>Composite!G220</f>
        <v>0</v>
      </c>
      <c r="I78" s="24" t="str">
        <f>Composite!H220</f>
        <v>ResDHW</v>
      </c>
      <c r="J78" s="44">
        <f>Composite!I220</f>
        <v>0</v>
      </c>
      <c r="K78" s="44">
        <f>Composite!J220</f>
        <v>0</v>
      </c>
      <c r="L78" s="24">
        <f>Composite!K220</f>
        <v>0</v>
      </c>
      <c r="M78" s="44">
        <f>Composite!L220</f>
        <v>0</v>
      </c>
      <c r="N78" s="24">
        <f>Composite!M220</f>
        <v>0</v>
      </c>
      <c r="O78" s="44">
        <f>Composite!N220</f>
        <v>0</v>
      </c>
      <c r="P78" s="24">
        <f>Composite!O220</f>
        <v>0</v>
      </c>
      <c r="Q78" s="44">
        <f>Composite!P220</f>
        <v>0</v>
      </c>
      <c r="R78" s="44" t="str">
        <f>Composite!Q220</f>
        <v/>
      </c>
    </row>
    <row r="79" spans="1:19" ht="25.5">
      <c r="A79" t="s">
        <v>50</v>
      </c>
      <c r="B79" t="str">
        <f t="shared" si="1"/>
        <v>Tier2_basmnt_HZ1Heatkwh</v>
      </c>
      <c r="C79" s="24" t="str">
        <f>Composite!B221</f>
        <v>Tier2_basmnt_HZ1</v>
      </c>
      <c r="D79" s="24" t="str">
        <f>Composite!C221</f>
        <v>Heatkwh</v>
      </c>
      <c r="E79" s="44">
        <f>Composite!D221</f>
        <v>0</v>
      </c>
      <c r="F79" s="24">
        <f>Composite!E221</f>
        <v>13</v>
      </c>
      <c r="G79" s="44">
        <f>Composite!F221</f>
        <v>0</v>
      </c>
      <c r="H79" s="44">
        <f>Composite!G221</f>
        <v>0</v>
      </c>
      <c r="I79" s="24" t="str">
        <f>Composite!H221</f>
        <v>ResSpHtFAFZ1</v>
      </c>
      <c r="J79" s="44">
        <f>Composite!I221</f>
        <v>0</v>
      </c>
      <c r="K79" s="44">
        <f>Composite!J221</f>
        <v>0</v>
      </c>
      <c r="L79" s="24">
        <f>Composite!K221</f>
        <v>0</v>
      </c>
      <c r="M79" s="44">
        <f>Composite!L221</f>
        <v>0</v>
      </c>
      <c r="N79" s="24">
        <f>Composite!M221</f>
        <v>0</v>
      </c>
      <c r="O79" s="44">
        <f>Composite!N221</f>
        <v>0</v>
      </c>
      <c r="P79" s="24">
        <f>Composite!O221</f>
        <v>0</v>
      </c>
      <c r="Q79" s="44">
        <f>Composite!P221</f>
        <v>0</v>
      </c>
      <c r="R79" s="44" t="str">
        <f>Composite!Q221</f>
        <v/>
      </c>
    </row>
    <row r="80" spans="1:19" ht="25.5">
      <c r="A80" t="s">
        <v>50</v>
      </c>
      <c r="B80" t="str">
        <f t="shared" si="1"/>
        <v>Tier2_basmnt_HZ1Coolkwh</v>
      </c>
      <c r="C80" s="24" t="str">
        <f>Composite!B222</f>
        <v>Tier2_basmnt_HZ1</v>
      </c>
      <c r="D80" s="24" t="str">
        <f>Composite!C222</f>
        <v>Coolkwh</v>
      </c>
      <c r="E80" s="44">
        <f>Composite!D222</f>
        <v>0</v>
      </c>
      <c r="F80" s="24">
        <f>Composite!E222</f>
        <v>13</v>
      </c>
      <c r="G80" s="44">
        <f>Composite!F222</f>
        <v>0</v>
      </c>
      <c r="H80" s="44">
        <f>Composite!G222</f>
        <v>0</v>
      </c>
      <c r="I80" s="24" t="str">
        <f>Composite!H222</f>
        <v>ResCACPNW</v>
      </c>
      <c r="J80" s="44">
        <f>Composite!I222</f>
        <v>0</v>
      </c>
      <c r="K80" s="44">
        <f>Composite!J222</f>
        <v>0</v>
      </c>
      <c r="L80" s="24">
        <f>Composite!K222</f>
        <v>0</v>
      </c>
      <c r="M80" s="44">
        <f>Composite!L222</f>
        <v>0</v>
      </c>
      <c r="N80" s="24">
        <f>Composite!M222</f>
        <v>0</v>
      </c>
      <c r="O80" s="44">
        <f>Composite!N222</f>
        <v>0</v>
      </c>
      <c r="P80" s="24">
        <f>Composite!O222</f>
        <v>0</v>
      </c>
      <c r="Q80" s="44">
        <f>Composite!P222</f>
        <v>0</v>
      </c>
      <c r="R80" s="44" t="str">
        <f>Composite!Q222</f>
        <v/>
      </c>
    </row>
    <row r="81" spans="1:18">
      <c r="A81" t="s">
        <v>50</v>
      </c>
      <c r="B81" t="str">
        <f t="shared" si="1"/>
        <v>Tier2_basmnt_HZ2DHWkwh</v>
      </c>
      <c r="C81" s="24" t="str">
        <f>Composite!B223</f>
        <v>Tier2_basmnt_HZ2</v>
      </c>
      <c r="D81" s="24" t="str">
        <f>Composite!C223</f>
        <v>DHWkwh</v>
      </c>
      <c r="E81" s="44">
        <f>Composite!D223</f>
        <v>111.9615453464703</v>
      </c>
      <c r="F81" s="24">
        <f>Composite!E223</f>
        <v>13</v>
      </c>
      <c r="G81" s="44">
        <f>Composite!F223</f>
        <v>1183.5005381933265</v>
      </c>
      <c r="H81" s="44">
        <f>Composite!G223</f>
        <v>0</v>
      </c>
      <c r="I81" s="24" t="str">
        <f>Composite!H223</f>
        <v>ResDHW</v>
      </c>
      <c r="J81" s="44">
        <f>Composite!I223</f>
        <v>0</v>
      </c>
      <c r="K81" s="44">
        <f>Composite!J223</f>
        <v>0</v>
      </c>
      <c r="L81" s="24">
        <f>Composite!K223</f>
        <v>0</v>
      </c>
      <c r="M81" s="44">
        <f>Composite!L223</f>
        <v>0</v>
      </c>
      <c r="N81" s="24">
        <f>Composite!M223</f>
        <v>0</v>
      </c>
      <c r="O81" s="44">
        <f>Composite!N223</f>
        <v>0</v>
      </c>
      <c r="P81" s="24">
        <f>Composite!O223</f>
        <v>0</v>
      </c>
      <c r="Q81" s="44">
        <f>Composite!P223</f>
        <v>0</v>
      </c>
      <c r="R81" s="44" t="str">
        <f>Composite!Q223</f>
        <v/>
      </c>
    </row>
    <row r="82" spans="1:18" ht="25.5">
      <c r="A82" t="s">
        <v>50</v>
      </c>
      <c r="B82" t="str">
        <f t="shared" si="1"/>
        <v>Tier2_basmnt_HZ2Heatkwh</v>
      </c>
      <c r="C82" s="24" t="str">
        <f>Composite!B224</f>
        <v>Tier2_basmnt_HZ2</v>
      </c>
      <c r="D82" s="24" t="str">
        <f>Composite!C224</f>
        <v>Heatkwh</v>
      </c>
      <c r="E82" s="44">
        <f>Composite!D224</f>
        <v>0</v>
      </c>
      <c r="F82" s="24">
        <f>Composite!E224</f>
        <v>13</v>
      </c>
      <c r="G82" s="44">
        <f>Composite!F224</f>
        <v>0</v>
      </c>
      <c r="H82" s="44">
        <f>Composite!G224</f>
        <v>0</v>
      </c>
      <c r="I82" s="24" t="str">
        <f>Composite!H224</f>
        <v>ResSpHtFAFZ2</v>
      </c>
      <c r="J82" s="44">
        <f>Composite!I224</f>
        <v>0</v>
      </c>
      <c r="K82" s="44">
        <f>Composite!J224</f>
        <v>0</v>
      </c>
      <c r="L82" s="24">
        <f>Composite!K224</f>
        <v>0</v>
      </c>
      <c r="M82" s="44">
        <f>Composite!L224</f>
        <v>0</v>
      </c>
      <c r="N82" s="24">
        <f>Composite!M224</f>
        <v>0</v>
      </c>
      <c r="O82" s="44">
        <f>Composite!N224</f>
        <v>0</v>
      </c>
      <c r="P82" s="24">
        <f>Composite!O224</f>
        <v>0</v>
      </c>
      <c r="Q82" s="44">
        <f>Composite!P224</f>
        <v>0</v>
      </c>
      <c r="R82" s="44" t="str">
        <f>Composite!Q224</f>
        <v/>
      </c>
    </row>
    <row r="83" spans="1:18" ht="25.5">
      <c r="A83" t="s">
        <v>50</v>
      </c>
      <c r="B83" t="str">
        <f t="shared" si="1"/>
        <v>Tier2_basmnt_HZ2Coolkwh</v>
      </c>
      <c r="C83" s="24" t="str">
        <f>Composite!B225</f>
        <v>Tier2_basmnt_HZ2</v>
      </c>
      <c r="D83" s="24" t="str">
        <f>Composite!C225</f>
        <v>Coolkwh</v>
      </c>
      <c r="E83" s="44">
        <f>Composite!D225</f>
        <v>0</v>
      </c>
      <c r="F83" s="24">
        <f>Composite!E225</f>
        <v>13</v>
      </c>
      <c r="G83" s="44">
        <f>Composite!F225</f>
        <v>0</v>
      </c>
      <c r="H83" s="44">
        <f>Composite!G225</f>
        <v>0</v>
      </c>
      <c r="I83" s="24" t="str">
        <f>Composite!H225</f>
        <v>ResCACPNW</v>
      </c>
      <c r="J83" s="44">
        <f>Composite!I225</f>
        <v>0</v>
      </c>
      <c r="K83" s="44">
        <f>Composite!J225</f>
        <v>0</v>
      </c>
      <c r="L83" s="24">
        <f>Composite!K225</f>
        <v>0</v>
      </c>
      <c r="M83" s="44">
        <f>Composite!L225</f>
        <v>0</v>
      </c>
      <c r="N83" s="24">
        <f>Composite!M225</f>
        <v>0</v>
      </c>
      <c r="O83" s="44">
        <f>Composite!N225</f>
        <v>0</v>
      </c>
      <c r="P83" s="24">
        <f>Composite!O225</f>
        <v>0</v>
      </c>
      <c r="Q83" s="44">
        <f>Composite!P225</f>
        <v>0</v>
      </c>
      <c r="R83" s="44" t="str">
        <f>Composite!Q225</f>
        <v/>
      </c>
    </row>
    <row r="84" spans="1:18">
      <c r="A84" t="s">
        <v>50</v>
      </c>
      <c r="B84" t="str">
        <f t="shared" si="1"/>
        <v>Tier2_basmnt_HZ3DHWkwh</v>
      </c>
      <c r="C84" s="24" t="str">
        <f>Composite!B226</f>
        <v>Tier2_basmnt_HZ3</v>
      </c>
      <c r="D84" s="24" t="str">
        <f>Composite!C226</f>
        <v>DHWkwh</v>
      </c>
      <c r="E84" s="44">
        <f>Composite!D226</f>
        <v>153.81604969806926</v>
      </c>
      <c r="F84" s="24">
        <f>Composite!E226</f>
        <v>13</v>
      </c>
      <c r="G84" s="44">
        <f>Composite!F226</f>
        <v>1183.5005381933265</v>
      </c>
      <c r="H84" s="44">
        <f>Composite!G226</f>
        <v>0</v>
      </c>
      <c r="I84" s="24" t="str">
        <f>Composite!H226</f>
        <v>ResDHW</v>
      </c>
      <c r="J84" s="44">
        <f>Composite!I226</f>
        <v>0</v>
      </c>
      <c r="K84" s="44">
        <f>Composite!J226</f>
        <v>0</v>
      </c>
      <c r="L84" s="24">
        <f>Composite!K226</f>
        <v>0</v>
      </c>
      <c r="M84" s="44">
        <f>Composite!L226</f>
        <v>0</v>
      </c>
      <c r="N84" s="24">
        <f>Composite!M226</f>
        <v>0</v>
      </c>
      <c r="O84" s="44">
        <f>Composite!N226</f>
        <v>0</v>
      </c>
      <c r="P84" s="24">
        <f>Composite!O226</f>
        <v>0</v>
      </c>
      <c r="Q84" s="44">
        <f>Composite!P226</f>
        <v>0</v>
      </c>
      <c r="R84" s="44" t="str">
        <f>Composite!Q226</f>
        <v/>
      </c>
    </row>
    <row r="85" spans="1:18" ht="25.5">
      <c r="A85" t="s">
        <v>50</v>
      </c>
      <c r="B85" t="str">
        <f t="shared" si="1"/>
        <v>Tier2_basmnt_HZ3Heatkwh</v>
      </c>
      <c r="C85" s="24" t="str">
        <f>Composite!B227</f>
        <v>Tier2_basmnt_HZ3</v>
      </c>
      <c r="D85" s="24" t="str">
        <f>Composite!C227</f>
        <v>Heatkwh</v>
      </c>
      <c r="E85" s="44">
        <f>Composite!D227</f>
        <v>0</v>
      </c>
      <c r="F85" s="24">
        <f>Composite!E227</f>
        <v>13</v>
      </c>
      <c r="G85" s="44">
        <f>Composite!F227</f>
        <v>0</v>
      </c>
      <c r="H85" s="44">
        <f>Composite!G227</f>
        <v>0</v>
      </c>
      <c r="I85" s="24" t="str">
        <f>Composite!H227</f>
        <v>ResSpHtFAFZ3</v>
      </c>
      <c r="J85" s="44">
        <f>Composite!I227</f>
        <v>0</v>
      </c>
      <c r="K85" s="44">
        <f>Composite!J227</f>
        <v>0</v>
      </c>
      <c r="L85" s="24">
        <f>Composite!K227</f>
        <v>0</v>
      </c>
      <c r="M85" s="44">
        <f>Composite!L227</f>
        <v>0</v>
      </c>
      <c r="N85" s="24">
        <f>Composite!M227</f>
        <v>0</v>
      </c>
      <c r="O85" s="44">
        <f>Composite!N227</f>
        <v>0</v>
      </c>
      <c r="P85" s="24">
        <f>Composite!O227</f>
        <v>0</v>
      </c>
      <c r="Q85" s="44">
        <f>Composite!P227</f>
        <v>0</v>
      </c>
      <c r="R85" s="44" t="str">
        <f>Composite!Q227</f>
        <v/>
      </c>
    </row>
    <row r="86" spans="1:18" ht="25.5">
      <c r="A86" t="s">
        <v>50</v>
      </c>
      <c r="B86" t="str">
        <f t="shared" si="1"/>
        <v>Tier2_basmnt_HZ3Coolkwh</v>
      </c>
      <c r="C86" s="24" t="str">
        <f>Composite!B228</f>
        <v>Tier2_basmnt_HZ3</v>
      </c>
      <c r="D86" s="24" t="str">
        <f>Composite!C228</f>
        <v>Coolkwh</v>
      </c>
      <c r="E86" s="44">
        <f>Composite!D228</f>
        <v>0</v>
      </c>
      <c r="F86" s="24">
        <f>Composite!E228</f>
        <v>13</v>
      </c>
      <c r="G86" s="44">
        <f>Composite!F228</f>
        <v>0</v>
      </c>
      <c r="H86" s="44">
        <f>Composite!G228</f>
        <v>0</v>
      </c>
      <c r="I86" s="24" t="str">
        <f>Composite!H228</f>
        <v>ResCACPNW</v>
      </c>
      <c r="J86" s="44">
        <f>Composite!I228</f>
        <v>0</v>
      </c>
      <c r="K86" s="44">
        <f>Composite!J228</f>
        <v>0</v>
      </c>
      <c r="L86" s="24">
        <f>Composite!K228</f>
        <v>0</v>
      </c>
      <c r="M86" s="44">
        <f>Composite!L228</f>
        <v>0</v>
      </c>
      <c r="N86" s="24">
        <f>Composite!M228</f>
        <v>0</v>
      </c>
      <c r="O86" s="44">
        <f>Composite!N228</f>
        <v>0</v>
      </c>
      <c r="P86" s="24">
        <f>Composite!O228</f>
        <v>0</v>
      </c>
      <c r="Q86" s="44">
        <f>Composite!P228</f>
        <v>0</v>
      </c>
      <c r="R86" s="44" t="str">
        <f>Composite!Q228</f>
        <v/>
      </c>
    </row>
    <row r="87" spans="1:18">
      <c r="A87" t="s">
        <v>50</v>
      </c>
      <c r="B87" t="str">
        <f t="shared" si="1"/>
        <v>Tier2_indor2_HZ1_gfncDHWkwh</v>
      </c>
      <c r="C87" s="24" t="str">
        <f>Composite!B229</f>
        <v>Tier2_indor2_HZ1_gfnc</v>
      </c>
      <c r="D87" s="24" t="str">
        <f>Composite!C229</f>
        <v>DHWkwh</v>
      </c>
      <c r="E87" s="44">
        <f>Composite!D229</f>
        <v>80.224837589874369</v>
      </c>
      <c r="F87" s="24">
        <f>Composite!E229</f>
        <v>13</v>
      </c>
      <c r="G87" s="44">
        <f>Composite!F229</f>
        <v>1183.5005381933265</v>
      </c>
      <c r="H87" s="44">
        <f>Composite!G229</f>
        <v>0</v>
      </c>
      <c r="I87" s="24" t="str">
        <f>Composite!H229</f>
        <v>ResDHW</v>
      </c>
      <c r="J87" s="44">
        <f>Composite!I229</f>
        <v>-0.88049142216360199</v>
      </c>
      <c r="K87" s="44">
        <f>Composite!J229</f>
        <v>0</v>
      </c>
      <c r="L87" s="24">
        <f>Composite!K229</f>
        <v>0</v>
      </c>
      <c r="M87" s="44">
        <f>Composite!L229</f>
        <v>0</v>
      </c>
      <c r="N87" s="24">
        <f>Composite!M229</f>
        <v>0</v>
      </c>
      <c r="O87" s="44">
        <f>Composite!N229</f>
        <v>0</v>
      </c>
      <c r="P87" s="24">
        <f>Composite!O229</f>
        <v>0</v>
      </c>
      <c r="Q87" s="44">
        <f>Composite!P229</f>
        <v>0</v>
      </c>
      <c r="R87" s="44" t="str">
        <f>Composite!Q229</f>
        <v/>
      </c>
    </row>
    <row r="88" spans="1:18" ht="25.5">
      <c r="A88" t="s">
        <v>50</v>
      </c>
      <c r="B88" t="str">
        <f t="shared" si="1"/>
        <v>Tier2_indor2_HZ1_gfncHeatkwh</v>
      </c>
      <c r="C88" s="24" t="str">
        <f>Composite!B230</f>
        <v>Tier2_indor2_HZ1_gfnc</v>
      </c>
      <c r="D88" s="24" t="str">
        <f>Composite!C230</f>
        <v>Heatkwh</v>
      </c>
      <c r="E88" s="44">
        <f>Composite!D230</f>
        <v>-2.2939692482349798</v>
      </c>
      <c r="F88" s="24">
        <f>Composite!E230</f>
        <v>13</v>
      </c>
      <c r="G88" s="44">
        <f>Composite!F230</f>
        <v>0</v>
      </c>
      <c r="H88" s="44">
        <f>Composite!G230</f>
        <v>0</v>
      </c>
      <c r="I88" s="24" t="str">
        <f>Composite!H230</f>
        <v>ResSpHtFAFZ1</v>
      </c>
      <c r="J88" s="44">
        <f>Composite!I230</f>
        <v>-0.88049142216360199</v>
      </c>
      <c r="K88" s="44">
        <f>Composite!J230</f>
        <v>0</v>
      </c>
      <c r="L88" s="24">
        <f>Composite!K230</f>
        <v>0</v>
      </c>
      <c r="M88" s="44">
        <f>Composite!L230</f>
        <v>0</v>
      </c>
      <c r="N88" s="24">
        <f>Composite!M230</f>
        <v>0</v>
      </c>
      <c r="O88" s="44">
        <f>Composite!N230</f>
        <v>0</v>
      </c>
      <c r="P88" s="24">
        <f>Composite!O230</f>
        <v>0</v>
      </c>
      <c r="Q88" s="44">
        <f>Composite!P230</f>
        <v>-3.4290251950462398</v>
      </c>
      <c r="R88" s="44" t="str">
        <f>Composite!Q230</f>
        <v>ResSpHtFAFZ1</v>
      </c>
    </row>
    <row r="89" spans="1:18" ht="25.5">
      <c r="A89" t="s">
        <v>50</v>
      </c>
      <c r="B89" t="str">
        <f t="shared" si="1"/>
        <v>Tier2_indor2_HZ1_gfncCoolkwh</v>
      </c>
      <c r="C89" s="24" t="str">
        <f>Composite!B231</f>
        <v>Tier2_indor2_HZ1_gfnc</v>
      </c>
      <c r="D89" s="24" t="str">
        <f>Composite!C231</f>
        <v>Coolkwh</v>
      </c>
      <c r="E89" s="44">
        <f>Composite!D231</f>
        <v>0</v>
      </c>
      <c r="F89" s="24">
        <f>Composite!E231</f>
        <v>13</v>
      </c>
      <c r="G89" s="44">
        <f>Composite!F231</f>
        <v>0</v>
      </c>
      <c r="H89" s="44">
        <f>Composite!G231</f>
        <v>0</v>
      </c>
      <c r="I89" s="24" t="str">
        <f>Composite!H231</f>
        <v>ResCACPNW</v>
      </c>
      <c r="J89" s="44">
        <f>Composite!I231</f>
        <v>-0.88049142216360199</v>
      </c>
      <c r="K89" s="44">
        <f>Composite!J231</f>
        <v>0</v>
      </c>
      <c r="L89" s="24">
        <f>Composite!K231</f>
        <v>0</v>
      </c>
      <c r="M89" s="44">
        <f>Composite!L231</f>
        <v>0</v>
      </c>
      <c r="N89" s="24">
        <f>Composite!M231</f>
        <v>0</v>
      </c>
      <c r="O89" s="44">
        <f>Composite!N231</f>
        <v>0</v>
      </c>
      <c r="P89" s="24">
        <f>Composite!O231</f>
        <v>0</v>
      </c>
      <c r="Q89" s="44">
        <f>Composite!P231</f>
        <v>0</v>
      </c>
      <c r="R89" s="44" t="str">
        <f>Composite!Q231</f>
        <v/>
      </c>
    </row>
    <row r="90" spans="1:18">
      <c r="A90" t="s">
        <v>50</v>
      </c>
      <c r="B90" t="str">
        <f t="shared" si="1"/>
        <v>Tier2_indor2_HZ1_gfacDHWkwh</v>
      </c>
      <c r="C90" s="24" t="str">
        <f>Composite!B232</f>
        <v>Tier2_indor2_HZ1_gfac</v>
      </c>
      <c r="D90" s="24" t="str">
        <f>Composite!C232</f>
        <v>DHWkwh</v>
      </c>
      <c r="E90" s="44">
        <f>Composite!D232</f>
        <v>84.67012915959026</v>
      </c>
      <c r="F90" s="24">
        <f>Composite!E232</f>
        <v>13</v>
      </c>
      <c r="G90" s="44">
        <f>Composite!F232</f>
        <v>1183.5005381933265</v>
      </c>
      <c r="H90" s="44">
        <f>Composite!G232</f>
        <v>0</v>
      </c>
      <c r="I90" s="24" t="str">
        <f>Composite!H232</f>
        <v>ResDHW</v>
      </c>
      <c r="J90" s="44">
        <f>Composite!I232</f>
        <v>-0.89161693639822914</v>
      </c>
      <c r="K90" s="44">
        <f>Composite!J232</f>
        <v>0</v>
      </c>
      <c r="L90" s="24">
        <f>Composite!K232</f>
        <v>0</v>
      </c>
      <c r="M90" s="44">
        <f>Composite!L232</f>
        <v>0</v>
      </c>
      <c r="N90" s="24">
        <f>Composite!M232</f>
        <v>0</v>
      </c>
      <c r="O90" s="44">
        <f>Composite!N232</f>
        <v>0</v>
      </c>
      <c r="P90" s="24">
        <f>Composite!O232</f>
        <v>0</v>
      </c>
      <c r="Q90" s="44">
        <f>Composite!P232</f>
        <v>0</v>
      </c>
      <c r="R90" s="44" t="str">
        <f>Composite!Q232</f>
        <v/>
      </c>
    </row>
    <row r="91" spans="1:18" ht="25.5">
      <c r="A91" t="s">
        <v>50</v>
      </c>
      <c r="B91" t="str">
        <f t="shared" si="1"/>
        <v>Tier2_indor2_HZ1_gfacHeatkwh</v>
      </c>
      <c r="C91" s="24" t="str">
        <f>Composite!B233</f>
        <v>Tier2_indor2_HZ1_gfac</v>
      </c>
      <c r="D91" s="24" t="str">
        <f>Composite!C233</f>
        <v>Heatkwh</v>
      </c>
      <c r="E91" s="44">
        <f>Composite!D233</f>
        <v>-2.5364759144830025</v>
      </c>
      <c r="F91" s="24">
        <f>Composite!E233</f>
        <v>13</v>
      </c>
      <c r="G91" s="44">
        <f>Composite!F233</f>
        <v>0</v>
      </c>
      <c r="H91" s="44">
        <f>Composite!G233</f>
        <v>0</v>
      </c>
      <c r="I91" s="24" t="str">
        <f>Composite!H233</f>
        <v>ResSpHtFAFZ1</v>
      </c>
      <c r="J91" s="44">
        <f>Composite!I233</f>
        <v>-0.89161693639822914</v>
      </c>
      <c r="K91" s="44">
        <f>Composite!J233</f>
        <v>0</v>
      </c>
      <c r="L91" s="24">
        <f>Composite!K233</f>
        <v>0</v>
      </c>
      <c r="M91" s="44">
        <f>Composite!L233</f>
        <v>0</v>
      </c>
      <c r="N91" s="24">
        <f>Composite!M233</f>
        <v>0</v>
      </c>
      <c r="O91" s="44">
        <f>Composite!N233</f>
        <v>0</v>
      </c>
      <c r="P91" s="24">
        <f>Composite!O233</f>
        <v>0</v>
      </c>
      <c r="Q91" s="44">
        <f>Composite!P233</f>
        <v>-3.4642029367382037</v>
      </c>
      <c r="R91" s="44" t="str">
        <f>Composite!Q233</f>
        <v>ResSpHtFAFZ1</v>
      </c>
    </row>
    <row r="92" spans="1:18" ht="25.5">
      <c r="A92" t="s">
        <v>50</v>
      </c>
      <c r="B92" t="str">
        <f t="shared" si="1"/>
        <v>Tier2_indor2_HZ1_gfacCoolkwh</v>
      </c>
      <c r="C92" s="24" t="str">
        <f>Composite!B234</f>
        <v>Tier2_indor2_HZ1_gfac</v>
      </c>
      <c r="D92" s="24" t="str">
        <f>Composite!C234</f>
        <v>Coolkwh</v>
      </c>
      <c r="E92" s="44">
        <f>Composite!D234</f>
        <v>-5.1204370251241045</v>
      </c>
      <c r="F92" s="24">
        <f>Composite!E234</f>
        <v>13</v>
      </c>
      <c r="G92" s="44">
        <f>Composite!F234</f>
        <v>0</v>
      </c>
      <c r="H92" s="44">
        <f>Composite!G234</f>
        <v>0</v>
      </c>
      <c r="I92" s="24" t="str">
        <f>Composite!H234</f>
        <v>ResCACPNW</v>
      </c>
      <c r="J92" s="44">
        <f>Composite!I234</f>
        <v>-0.89161693639822914</v>
      </c>
      <c r="K92" s="44">
        <f>Composite!J234</f>
        <v>0</v>
      </c>
      <c r="L92" s="24">
        <f>Composite!K234</f>
        <v>0</v>
      </c>
      <c r="M92" s="44">
        <f>Composite!L234</f>
        <v>0</v>
      </c>
      <c r="N92" s="24">
        <f>Composite!M234</f>
        <v>0</v>
      </c>
      <c r="O92" s="44">
        <f>Composite!N234</f>
        <v>0</v>
      </c>
      <c r="P92" s="24">
        <f>Composite!O234</f>
        <v>0</v>
      </c>
      <c r="Q92" s="44">
        <f>Composite!P234</f>
        <v>0</v>
      </c>
      <c r="R92" s="44" t="str">
        <f>Composite!Q234</f>
        <v/>
      </c>
    </row>
    <row r="93" spans="1:18">
      <c r="A93" t="s">
        <v>50</v>
      </c>
      <c r="B93" t="str">
        <f t="shared" si="1"/>
        <v>Tier2_indor2_HZ1_efafDHWkwh</v>
      </c>
      <c r="C93" s="24" t="str">
        <f>Composite!B235</f>
        <v>Tier2_indor2_HZ1_efaf</v>
      </c>
      <c r="D93" s="24" t="str">
        <f>Composite!C235</f>
        <v>DHWkwh</v>
      </c>
      <c r="E93" s="44">
        <f>Composite!D235</f>
        <v>80.224837589874369</v>
      </c>
      <c r="F93" s="24">
        <f>Composite!E235</f>
        <v>13</v>
      </c>
      <c r="G93" s="44">
        <f>Composite!F235</f>
        <v>1183.5005381933265</v>
      </c>
      <c r="H93" s="44">
        <f>Composite!G235</f>
        <v>0</v>
      </c>
      <c r="I93" s="24" t="str">
        <f>Composite!H235</f>
        <v>ResDHW</v>
      </c>
      <c r="J93" s="44">
        <f>Composite!I235</f>
        <v>-0.62059258441419862</v>
      </c>
      <c r="K93" s="44">
        <f>Composite!J235</f>
        <v>0</v>
      </c>
      <c r="L93" s="24">
        <f>Composite!K235</f>
        <v>0</v>
      </c>
      <c r="M93" s="44">
        <f>Composite!L235</f>
        <v>0</v>
      </c>
      <c r="N93" s="24">
        <f>Composite!M235</f>
        <v>0</v>
      </c>
      <c r="O93" s="44">
        <f>Composite!N235</f>
        <v>0</v>
      </c>
      <c r="P93" s="24">
        <f>Composite!O235</f>
        <v>0</v>
      </c>
      <c r="Q93" s="44">
        <f>Composite!P235</f>
        <v>0</v>
      </c>
      <c r="R93" s="44" t="str">
        <f>Composite!Q235</f>
        <v/>
      </c>
    </row>
    <row r="94" spans="1:18" ht="25.5">
      <c r="A94" t="s">
        <v>50</v>
      </c>
      <c r="B94" t="str">
        <f t="shared" si="1"/>
        <v>Tier2_indor2_HZ1_efafHeatkwh</v>
      </c>
      <c r="C94" s="24" t="str">
        <f>Composite!B236</f>
        <v>Tier2_indor2_HZ1_efaf</v>
      </c>
      <c r="D94" s="24" t="str">
        <f>Composite!C236</f>
        <v>Heatkwh</v>
      </c>
      <c r="E94" s="44">
        <f>Composite!D236</f>
        <v>-61.123626427883266</v>
      </c>
      <c r="F94" s="24">
        <f>Composite!E236</f>
        <v>13</v>
      </c>
      <c r="G94" s="44">
        <f>Composite!F236</f>
        <v>0</v>
      </c>
      <c r="H94" s="44">
        <f>Composite!G236</f>
        <v>0</v>
      </c>
      <c r="I94" s="24" t="str">
        <f>Composite!H236</f>
        <v>ResSpHtFAFZ1</v>
      </c>
      <c r="J94" s="44">
        <f>Composite!I236</f>
        <v>-0.62059258441419862</v>
      </c>
      <c r="K94" s="44">
        <f>Composite!J236</f>
        <v>0</v>
      </c>
      <c r="L94" s="24">
        <f>Composite!K236</f>
        <v>0</v>
      </c>
      <c r="M94" s="44">
        <f>Composite!L236</f>
        <v>0</v>
      </c>
      <c r="N94" s="24">
        <f>Composite!M236</f>
        <v>0</v>
      </c>
      <c r="O94" s="44">
        <f>Composite!N236</f>
        <v>0</v>
      </c>
      <c r="P94" s="24">
        <f>Composite!O236</f>
        <v>0</v>
      </c>
      <c r="Q94" s="44">
        <f>Composite!P236</f>
        <v>-0.14552869424772896</v>
      </c>
      <c r="R94" s="44" t="str">
        <f>Composite!Q236</f>
        <v>ResSpHtFAFZ1</v>
      </c>
    </row>
    <row r="95" spans="1:18" ht="25.5">
      <c r="A95" t="s">
        <v>50</v>
      </c>
      <c r="B95" t="str">
        <f t="shared" si="1"/>
        <v>Tier2_indor2_HZ1_efafCoolkwh</v>
      </c>
      <c r="C95" s="24" t="str">
        <f>Composite!B237</f>
        <v>Tier2_indor2_HZ1_efaf</v>
      </c>
      <c r="D95" s="24" t="str">
        <f>Composite!C237</f>
        <v>Coolkwh</v>
      </c>
      <c r="E95" s="44">
        <f>Composite!D237</f>
        <v>0</v>
      </c>
      <c r="F95" s="24">
        <f>Composite!E237</f>
        <v>13</v>
      </c>
      <c r="G95" s="44">
        <f>Composite!F237</f>
        <v>0</v>
      </c>
      <c r="H95" s="44">
        <f>Composite!G237</f>
        <v>0</v>
      </c>
      <c r="I95" s="24" t="str">
        <f>Composite!H237</f>
        <v>ResCACPNW</v>
      </c>
      <c r="J95" s="44">
        <f>Composite!I237</f>
        <v>-0.62059258441419862</v>
      </c>
      <c r="K95" s="44">
        <f>Composite!J237</f>
        <v>0</v>
      </c>
      <c r="L95" s="24">
        <f>Composite!K237</f>
        <v>0</v>
      </c>
      <c r="M95" s="44">
        <f>Composite!L237</f>
        <v>0</v>
      </c>
      <c r="N95" s="24">
        <f>Composite!M237</f>
        <v>0</v>
      </c>
      <c r="O95" s="44">
        <f>Composite!N237</f>
        <v>0</v>
      </c>
      <c r="P95" s="24">
        <f>Composite!O237</f>
        <v>0</v>
      </c>
      <c r="Q95" s="44">
        <f>Composite!P237</f>
        <v>0</v>
      </c>
      <c r="R95" s="44" t="str">
        <f>Composite!Q237</f>
        <v/>
      </c>
    </row>
    <row r="96" spans="1:18">
      <c r="A96" t="s">
        <v>50</v>
      </c>
      <c r="B96" t="str">
        <f t="shared" si="1"/>
        <v>Tier2_indor2_HZ1_hp85DHWkwh</v>
      </c>
      <c r="C96" s="24" t="str">
        <f>Composite!B238</f>
        <v>Tier2_indor2_HZ1_hp85</v>
      </c>
      <c r="D96" s="24" t="str">
        <f>Composite!C238</f>
        <v>DHWkwh</v>
      </c>
      <c r="E96" s="44">
        <f>Composite!D238</f>
        <v>84.660816873848034</v>
      </c>
      <c r="F96" s="24">
        <f>Composite!E238</f>
        <v>13</v>
      </c>
      <c r="G96" s="44">
        <f>Composite!F238</f>
        <v>1183.5005381933265</v>
      </c>
      <c r="H96" s="44">
        <f>Composite!G238</f>
        <v>0</v>
      </c>
      <c r="I96" s="24" t="str">
        <f>Composite!H238</f>
        <v>ResDHW</v>
      </c>
      <c r="J96" s="44">
        <f>Composite!I238</f>
        <v>-0.34769207685672532</v>
      </c>
      <c r="K96" s="44">
        <f>Composite!J238</f>
        <v>0</v>
      </c>
      <c r="L96" s="24">
        <f>Composite!K238</f>
        <v>0</v>
      </c>
      <c r="M96" s="44">
        <f>Composite!L238</f>
        <v>0</v>
      </c>
      <c r="N96" s="24">
        <f>Composite!M238</f>
        <v>0</v>
      </c>
      <c r="O96" s="44">
        <f>Composite!N238</f>
        <v>0</v>
      </c>
      <c r="P96" s="24">
        <f>Composite!O238</f>
        <v>0</v>
      </c>
      <c r="Q96" s="44">
        <f>Composite!P238</f>
        <v>0</v>
      </c>
      <c r="R96" s="44" t="str">
        <f>Composite!Q238</f>
        <v/>
      </c>
    </row>
    <row r="97" spans="1:18" ht="25.5">
      <c r="A97" t="s">
        <v>50</v>
      </c>
      <c r="B97" t="str">
        <f t="shared" si="1"/>
        <v>Tier2_indor2_HZ1_hp85Heatkwh</v>
      </c>
      <c r="C97" s="24" t="str">
        <f>Composite!B239</f>
        <v>Tier2_indor2_HZ1_hp85</v>
      </c>
      <c r="D97" s="24" t="str">
        <f>Composite!C239</f>
        <v>Heatkwh</v>
      </c>
      <c r="E97" s="44">
        <f>Composite!D239</f>
        <v>-34.245012189093615</v>
      </c>
      <c r="F97" s="24">
        <f>Composite!E239</f>
        <v>13</v>
      </c>
      <c r="G97" s="44">
        <f>Composite!F239</f>
        <v>0</v>
      </c>
      <c r="H97" s="44">
        <f>Composite!G239</f>
        <v>0</v>
      </c>
      <c r="I97" s="24" t="str">
        <f>Composite!H239</f>
        <v>ResSpHtHPZ1</v>
      </c>
      <c r="J97" s="44">
        <f>Composite!I239</f>
        <v>-0.34769207685672532</v>
      </c>
      <c r="K97" s="44">
        <f>Composite!J239</f>
        <v>0</v>
      </c>
      <c r="L97" s="24">
        <f>Composite!K239</f>
        <v>0</v>
      </c>
      <c r="M97" s="44">
        <f>Composite!L239</f>
        <v>0</v>
      </c>
      <c r="N97" s="24">
        <f>Composite!M239</f>
        <v>0</v>
      </c>
      <c r="O97" s="44">
        <f>Composite!N239</f>
        <v>0</v>
      </c>
      <c r="P97" s="24">
        <f>Composite!O239</f>
        <v>0</v>
      </c>
      <c r="Q97" s="44">
        <f>Composite!P239</f>
        <v>-8.1533642547473806E-2</v>
      </c>
      <c r="R97" s="44" t="str">
        <f>Composite!Q239</f>
        <v>ResSpHtHPZ1</v>
      </c>
    </row>
    <row r="98" spans="1:18" ht="25.5">
      <c r="A98" t="s">
        <v>50</v>
      </c>
      <c r="B98" t="str">
        <f t="shared" si="1"/>
        <v>Tier2_indor2_HZ1_hp85Coolkwh</v>
      </c>
      <c r="C98" s="24" t="str">
        <f>Composite!B240</f>
        <v>Tier2_indor2_HZ1_hp85</v>
      </c>
      <c r="D98" s="24" t="str">
        <f>Composite!C240</f>
        <v>Coolkwh</v>
      </c>
      <c r="E98" s="44">
        <f>Composite!D240</f>
        <v>-5.1307843027512732</v>
      </c>
      <c r="F98" s="24">
        <f>Composite!E240</f>
        <v>13</v>
      </c>
      <c r="G98" s="44">
        <f>Composite!F240</f>
        <v>0</v>
      </c>
      <c r="H98" s="44">
        <f>Composite!G240</f>
        <v>0</v>
      </c>
      <c r="I98" s="24" t="str">
        <f>Composite!H240</f>
        <v>ResCACPNW</v>
      </c>
      <c r="J98" s="44">
        <f>Composite!I240</f>
        <v>-0.34769207685672532</v>
      </c>
      <c r="K98" s="44">
        <f>Composite!J240</f>
        <v>0</v>
      </c>
      <c r="L98" s="24">
        <f>Composite!K240</f>
        <v>0</v>
      </c>
      <c r="M98" s="44">
        <f>Composite!L240</f>
        <v>0</v>
      </c>
      <c r="N98" s="24">
        <f>Composite!M240</f>
        <v>0</v>
      </c>
      <c r="O98" s="44">
        <f>Composite!N240</f>
        <v>0</v>
      </c>
      <c r="P98" s="24">
        <f>Composite!O240</f>
        <v>0</v>
      </c>
      <c r="Q98" s="44">
        <f>Composite!P240</f>
        <v>0</v>
      </c>
      <c r="R98" s="44" t="str">
        <f>Composite!Q240</f>
        <v/>
      </c>
    </row>
    <row r="99" spans="1:18">
      <c r="A99" t="s">
        <v>50</v>
      </c>
      <c r="B99" t="str">
        <f t="shared" si="1"/>
        <v>Tier2_indor2_HZ1_zonlDHWkwh</v>
      </c>
      <c r="C99" s="24" t="str">
        <f>Composite!B241</f>
        <v>Tier2_indor2_HZ1_zonl</v>
      </c>
      <c r="D99" s="24" t="str">
        <f>Composite!C241</f>
        <v>DHWkwh</v>
      </c>
      <c r="E99" s="44">
        <f>Composite!D241</f>
        <v>80.151952923044973</v>
      </c>
      <c r="F99" s="24">
        <f>Composite!E241</f>
        <v>13</v>
      </c>
      <c r="G99" s="44">
        <f>Composite!F241</f>
        <v>1183.5005381933265</v>
      </c>
      <c r="H99" s="44">
        <f>Composite!G241</f>
        <v>0</v>
      </c>
      <c r="I99" s="24" t="str">
        <f>Composite!H241</f>
        <v>ResDHW</v>
      </c>
      <c r="J99" s="44">
        <f>Composite!I241</f>
        <v>-0.55106513090871534</v>
      </c>
      <c r="K99" s="44">
        <f>Composite!J241</f>
        <v>0</v>
      </c>
      <c r="L99" s="24">
        <f>Composite!K241</f>
        <v>0</v>
      </c>
      <c r="M99" s="44">
        <f>Composite!L241</f>
        <v>0</v>
      </c>
      <c r="N99" s="24">
        <f>Composite!M241</f>
        <v>0</v>
      </c>
      <c r="O99" s="44">
        <f>Composite!N241</f>
        <v>0</v>
      </c>
      <c r="P99" s="24">
        <f>Composite!O241</f>
        <v>0</v>
      </c>
      <c r="Q99" s="44">
        <f>Composite!P241</f>
        <v>0</v>
      </c>
      <c r="R99" s="44" t="str">
        <f>Composite!Q241</f>
        <v/>
      </c>
    </row>
    <row r="100" spans="1:18" ht="25.5">
      <c r="A100" t="s">
        <v>50</v>
      </c>
      <c r="B100" t="str">
        <f t="shared" si="1"/>
        <v>Tier2_indor2_HZ1_zonlHeatkwh</v>
      </c>
      <c r="C100" s="24" t="str">
        <f>Composite!B242</f>
        <v>Tier2_indor2_HZ1_zonl</v>
      </c>
      <c r="D100" s="24" t="str">
        <f>Composite!C242</f>
        <v>Heatkwh</v>
      </c>
      <c r="E100" s="44">
        <f>Composite!D242</f>
        <v>-54.275703650071307</v>
      </c>
      <c r="F100" s="24">
        <f>Composite!E242</f>
        <v>13</v>
      </c>
      <c r="G100" s="44">
        <f>Composite!F242</f>
        <v>0</v>
      </c>
      <c r="H100" s="44">
        <f>Composite!G242</f>
        <v>0</v>
      </c>
      <c r="I100" s="24" t="str">
        <f>Composite!H242</f>
        <v>ResSpHtBBZ1</v>
      </c>
      <c r="J100" s="44">
        <f>Composite!I242</f>
        <v>-0.55106513090871534</v>
      </c>
      <c r="K100" s="44">
        <f>Composite!J242</f>
        <v>0</v>
      </c>
      <c r="L100" s="24">
        <f>Composite!K242</f>
        <v>0</v>
      </c>
      <c r="M100" s="44">
        <f>Composite!L242</f>
        <v>0</v>
      </c>
      <c r="N100" s="24">
        <f>Composite!M242</f>
        <v>0</v>
      </c>
      <c r="O100" s="44">
        <f>Composite!N242</f>
        <v>0</v>
      </c>
      <c r="P100" s="24">
        <f>Composite!O242</f>
        <v>0</v>
      </c>
      <c r="Q100" s="44">
        <f>Composite!P242</f>
        <v>-0.12922453629106634</v>
      </c>
      <c r="R100" s="44" t="str">
        <f>Composite!Q242</f>
        <v>ResSpHtBBZ1</v>
      </c>
    </row>
    <row r="101" spans="1:18" ht="25.5">
      <c r="A101" t="s">
        <v>50</v>
      </c>
      <c r="B101" t="str">
        <f t="shared" si="1"/>
        <v>Tier2_indor2_HZ1_zonlCoolkwh</v>
      </c>
      <c r="C101" s="24" t="str">
        <f>Composite!B243</f>
        <v>Tier2_indor2_HZ1_zonl</v>
      </c>
      <c r="D101" s="24" t="str">
        <f>Composite!C243</f>
        <v>Coolkwh</v>
      </c>
      <c r="E101" s="44">
        <f>Composite!D243</f>
        <v>0</v>
      </c>
      <c r="F101" s="24">
        <f>Composite!E243</f>
        <v>13</v>
      </c>
      <c r="G101" s="44">
        <f>Composite!F243</f>
        <v>0</v>
      </c>
      <c r="H101" s="44">
        <f>Composite!G243</f>
        <v>0</v>
      </c>
      <c r="I101" s="24" t="str">
        <f>Composite!H243</f>
        <v>ResCACPNW</v>
      </c>
      <c r="J101" s="44">
        <f>Composite!I243</f>
        <v>-0.55106513090871534</v>
      </c>
      <c r="K101" s="44">
        <f>Composite!J243</f>
        <v>0</v>
      </c>
      <c r="L101" s="24">
        <f>Composite!K243</f>
        <v>0</v>
      </c>
      <c r="M101" s="44">
        <f>Composite!L243</f>
        <v>0</v>
      </c>
      <c r="N101" s="24">
        <f>Composite!M243</f>
        <v>0</v>
      </c>
      <c r="O101" s="44">
        <f>Composite!N243</f>
        <v>0</v>
      </c>
      <c r="P101" s="24">
        <f>Composite!O243</f>
        <v>0</v>
      </c>
      <c r="Q101" s="44">
        <f>Composite!P243</f>
        <v>0</v>
      </c>
      <c r="R101" s="44" t="str">
        <f>Composite!Q243</f>
        <v/>
      </c>
    </row>
    <row r="102" spans="1:18">
      <c r="A102" t="s">
        <v>50</v>
      </c>
      <c r="B102" t="str">
        <f t="shared" si="1"/>
        <v>Tier2_indor2_HZ2_gfncDHWkwh</v>
      </c>
      <c r="C102" s="24" t="str">
        <f>Composite!B244</f>
        <v>Tier2_indor2_HZ2_gfnc</v>
      </c>
      <c r="D102" s="24" t="str">
        <f>Composite!C244</f>
        <v>DHWkwh</v>
      </c>
      <c r="E102" s="44">
        <f>Composite!D244</f>
        <v>80.797266248964661</v>
      </c>
      <c r="F102" s="24">
        <f>Composite!E244</f>
        <v>13</v>
      </c>
      <c r="G102" s="44">
        <f>Composite!F244</f>
        <v>1183.5005381933265</v>
      </c>
      <c r="H102" s="44">
        <f>Composite!G244</f>
        <v>0</v>
      </c>
      <c r="I102" s="24" t="str">
        <f>Composite!H244</f>
        <v>ResDHW</v>
      </c>
      <c r="J102" s="44">
        <f>Composite!I244</f>
        <v>-0.80745509509243796</v>
      </c>
      <c r="K102" s="44">
        <f>Composite!J244</f>
        <v>0</v>
      </c>
      <c r="L102" s="24">
        <f>Composite!K244</f>
        <v>0</v>
      </c>
      <c r="M102" s="44">
        <f>Composite!L244</f>
        <v>0</v>
      </c>
      <c r="N102" s="24">
        <f>Composite!M244</f>
        <v>0</v>
      </c>
      <c r="O102" s="44">
        <f>Composite!N244</f>
        <v>0</v>
      </c>
      <c r="P102" s="24">
        <f>Composite!O244</f>
        <v>0</v>
      </c>
      <c r="Q102" s="44">
        <f>Composite!P244</f>
        <v>0</v>
      </c>
      <c r="R102" s="44" t="str">
        <f>Composite!Q244</f>
        <v/>
      </c>
    </row>
    <row r="103" spans="1:18" ht="25.5">
      <c r="A103" t="s">
        <v>50</v>
      </c>
      <c r="B103" t="str">
        <f t="shared" si="1"/>
        <v>Tier2_indor2_HZ2_gfncHeatkwh</v>
      </c>
      <c r="C103" s="24" t="str">
        <f>Composite!B245</f>
        <v>Tier2_indor2_HZ2_gfnc</v>
      </c>
      <c r="D103" s="24" t="str">
        <f>Composite!C245</f>
        <v>Heatkwh</v>
      </c>
      <c r="E103" s="44">
        <f>Composite!D245</f>
        <v>-2.2347709854631734</v>
      </c>
      <c r="F103" s="24">
        <f>Composite!E245</f>
        <v>13</v>
      </c>
      <c r="G103" s="44">
        <f>Composite!F245</f>
        <v>0</v>
      </c>
      <c r="H103" s="44">
        <f>Composite!G245</f>
        <v>0</v>
      </c>
      <c r="I103" s="24" t="str">
        <f>Composite!H245</f>
        <v>ResSpHtFAFZ2</v>
      </c>
      <c r="J103" s="44">
        <f>Composite!I245</f>
        <v>-0.80745509509243796</v>
      </c>
      <c r="K103" s="44">
        <f>Composite!J245</f>
        <v>0</v>
      </c>
      <c r="L103" s="24">
        <f>Composite!K245</f>
        <v>0</v>
      </c>
      <c r="M103" s="44">
        <f>Composite!L245</f>
        <v>0</v>
      </c>
      <c r="N103" s="24">
        <f>Composite!M245</f>
        <v>0</v>
      </c>
      <c r="O103" s="44">
        <f>Composite!N245</f>
        <v>0</v>
      </c>
      <c r="P103" s="24">
        <f>Composite!O245</f>
        <v>0</v>
      </c>
      <c r="Q103" s="44">
        <f>Composite!P245</f>
        <v>-3.0758065928616922</v>
      </c>
      <c r="R103" s="44" t="str">
        <f>Composite!Q245</f>
        <v>ResSpHtFAFZ2</v>
      </c>
    </row>
    <row r="104" spans="1:18" ht="25.5">
      <c r="A104" t="s">
        <v>50</v>
      </c>
      <c r="B104" t="str">
        <f t="shared" si="1"/>
        <v>Tier2_indor2_HZ2_gfncCoolkwh</v>
      </c>
      <c r="C104" s="24" t="str">
        <f>Composite!B246</f>
        <v>Tier2_indor2_HZ2_gfnc</v>
      </c>
      <c r="D104" s="24" t="str">
        <f>Composite!C246</f>
        <v>Coolkwh</v>
      </c>
      <c r="E104" s="44">
        <f>Composite!D246</f>
        <v>0</v>
      </c>
      <c r="F104" s="24">
        <f>Composite!E246</f>
        <v>13</v>
      </c>
      <c r="G104" s="44">
        <f>Composite!F246</f>
        <v>0</v>
      </c>
      <c r="H104" s="44">
        <f>Composite!G246</f>
        <v>0</v>
      </c>
      <c r="I104" s="24" t="str">
        <f>Composite!H246</f>
        <v>ResCACPNW</v>
      </c>
      <c r="J104" s="44">
        <f>Composite!I246</f>
        <v>-0.80745509509243796</v>
      </c>
      <c r="K104" s="44">
        <f>Composite!J246</f>
        <v>0</v>
      </c>
      <c r="L104" s="24">
        <f>Composite!K246</f>
        <v>0</v>
      </c>
      <c r="M104" s="44">
        <f>Composite!L246</f>
        <v>0</v>
      </c>
      <c r="N104" s="24">
        <f>Composite!M246</f>
        <v>0</v>
      </c>
      <c r="O104" s="44">
        <f>Composite!N246</f>
        <v>0</v>
      </c>
      <c r="P104" s="24">
        <f>Composite!O246</f>
        <v>0</v>
      </c>
      <c r="Q104" s="44">
        <f>Composite!P246</f>
        <v>0</v>
      </c>
      <c r="R104" s="44" t="str">
        <f>Composite!Q246</f>
        <v/>
      </c>
    </row>
    <row r="105" spans="1:18">
      <c r="A105" t="s">
        <v>50</v>
      </c>
      <c r="B105" t="str">
        <f t="shared" si="1"/>
        <v>Tier2_indor2_HZ2_gfacDHWkwh</v>
      </c>
      <c r="C105" s="24" t="str">
        <f>Composite!B247</f>
        <v>Tier2_indor2_HZ2_gfac</v>
      </c>
      <c r="D105" s="24" t="str">
        <f>Composite!C247</f>
        <v>DHWkwh</v>
      </c>
      <c r="E105" s="44">
        <f>Composite!D247</f>
        <v>89.615797865410968</v>
      </c>
      <c r="F105" s="24">
        <f>Composite!E247</f>
        <v>13</v>
      </c>
      <c r="G105" s="44">
        <f>Composite!F247</f>
        <v>1183.5005381933265</v>
      </c>
      <c r="H105" s="44">
        <f>Composite!G247</f>
        <v>0</v>
      </c>
      <c r="I105" s="24" t="str">
        <f>Composite!H247</f>
        <v>ResDHW</v>
      </c>
      <c r="J105" s="44">
        <f>Composite!I247</f>
        <v>-0.83468397616544454</v>
      </c>
      <c r="K105" s="44">
        <f>Composite!J247</f>
        <v>0</v>
      </c>
      <c r="L105" s="24">
        <f>Composite!K247</f>
        <v>0</v>
      </c>
      <c r="M105" s="44">
        <f>Composite!L247</f>
        <v>0</v>
      </c>
      <c r="N105" s="24">
        <f>Composite!M247</f>
        <v>0</v>
      </c>
      <c r="O105" s="44">
        <f>Composite!N247</f>
        <v>0</v>
      </c>
      <c r="P105" s="24">
        <f>Composite!O247</f>
        <v>0</v>
      </c>
      <c r="Q105" s="44">
        <f>Composite!P247</f>
        <v>0</v>
      </c>
      <c r="R105" s="44" t="str">
        <f>Composite!Q247</f>
        <v/>
      </c>
    </row>
    <row r="106" spans="1:18" ht="25.5">
      <c r="A106" t="s">
        <v>50</v>
      </c>
      <c r="B106" t="str">
        <f t="shared" si="1"/>
        <v>Tier2_indor2_HZ2_gfacHeatkwh</v>
      </c>
      <c r="C106" s="24" t="str">
        <f>Composite!B248</f>
        <v>Tier2_indor2_HZ2_gfac</v>
      </c>
      <c r="D106" s="24" t="str">
        <f>Composite!C248</f>
        <v>Heatkwh</v>
      </c>
      <c r="E106" s="44">
        <f>Composite!D248</f>
        <v>-2.4167261380351395</v>
      </c>
      <c r="F106" s="24">
        <f>Composite!E248</f>
        <v>13</v>
      </c>
      <c r="G106" s="44">
        <f>Composite!F248</f>
        <v>0</v>
      </c>
      <c r="H106" s="44">
        <f>Composite!G248</f>
        <v>0</v>
      </c>
      <c r="I106" s="24" t="str">
        <f>Composite!H248</f>
        <v>ResSpHtFAFZ2</v>
      </c>
      <c r="J106" s="44">
        <f>Composite!I248</f>
        <v>-0.83468397616544454</v>
      </c>
      <c r="K106" s="44">
        <f>Composite!J248</f>
        <v>0</v>
      </c>
      <c r="L106" s="24">
        <f>Composite!K248</f>
        <v>0</v>
      </c>
      <c r="M106" s="44">
        <f>Composite!L248</f>
        <v>0</v>
      </c>
      <c r="N106" s="24">
        <f>Composite!M248</f>
        <v>0</v>
      </c>
      <c r="O106" s="44">
        <f>Composite!N248</f>
        <v>0</v>
      </c>
      <c r="P106" s="24">
        <f>Composite!O248</f>
        <v>0</v>
      </c>
      <c r="Q106" s="44">
        <f>Composite!P248</f>
        <v>-3.1754462530863812</v>
      </c>
      <c r="R106" s="44" t="str">
        <f>Composite!Q248</f>
        <v>ResSpHtFAFZ2</v>
      </c>
    </row>
    <row r="107" spans="1:18" ht="25.5">
      <c r="A107" t="s">
        <v>50</v>
      </c>
      <c r="B107" t="str">
        <f t="shared" si="1"/>
        <v>Tier2_indor2_HZ2_gfacCoolkwh</v>
      </c>
      <c r="C107" s="24" t="str">
        <f>Composite!B249</f>
        <v>Tier2_indor2_HZ2_gfac</v>
      </c>
      <c r="D107" s="24" t="str">
        <f>Composite!C249</f>
        <v>Coolkwh</v>
      </c>
      <c r="E107" s="44">
        <f>Composite!D249</f>
        <v>-4.4447819007170715</v>
      </c>
      <c r="F107" s="24">
        <f>Composite!E249</f>
        <v>13</v>
      </c>
      <c r="G107" s="44">
        <f>Composite!F249</f>
        <v>0</v>
      </c>
      <c r="H107" s="44">
        <f>Composite!G249</f>
        <v>0</v>
      </c>
      <c r="I107" s="24" t="str">
        <f>Composite!H249</f>
        <v>ResCACPNW</v>
      </c>
      <c r="J107" s="44">
        <f>Composite!I249</f>
        <v>-0.83468397616544454</v>
      </c>
      <c r="K107" s="44">
        <f>Composite!J249</f>
        <v>0</v>
      </c>
      <c r="L107" s="24">
        <f>Composite!K249</f>
        <v>0</v>
      </c>
      <c r="M107" s="44">
        <f>Composite!L249</f>
        <v>0</v>
      </c>
      <c r="N107" s="24">
        <f>Composite!M249</f>
        <v>0</v>
      </c>
      <c r="O107" s="44">
        <f>Composite!N249</f>
        <v>0</v>
      </c>
      <c r="P107" s="24">
        <f>Composite!O249</f>
        <v>0</v>
      </c>
      <c r="Q107" s="44">
        <f>Composite!P249</f>
        <v>0</v>
      </c>
      <c r="R107" s="44" t="str">
        <f>Composite!Q249</f>
        <v/>
      </c>
    </row>
    <row r="108" spans="1:18">
      <c r="A108" t="s">
        <v>50</v>
      </c>
      <c r="B108" t="str">
        <f t="shared" si="1"/>
        <v>Tier2_indor2_HZ2_efafDHWkwh</v>
      </c>
      <c r="C108" s="24" t="str">
        <f>Composite!B250</f>
        <v>Tier2_indor2_HZ2_efaf</v>
      </c>
      <c r="D108" s="24" t="str">
        <f>Composite!C250</f>
        <v>DHWkwh</v>
      </c>
      <c r="E108" s="44">
        <f>Composite!D250</f>
        <v>80.797266248964661</v>
      </c>
      <c r="F108" s="24">
        <f>Composite!E250</f>
        <v>13</v>
      </c>
      <c r="G108" s="44">
        <f>Composite!F250</f>
        <v>1183.5005381933265</v>
      </c>
      <c r="H108" s="44">
        <f>Composite!G250</f>
        <v>0</v>
      </c>
      <c r="I108" s="24" t="str">
        <f>Composite!H250</f>
        <v>ResDHW</v>
      </c>
      <c r="J108" s="44">
        <f>Composite!I250</f>
        <v>-0.5698269604489492</v>
      </c>
      <c r="K108" s="44">
        <f>Composite!J250</f>
        <v>0</v>
      </c>
      <c r="L108" s="24">
        <f>Composite!K250</f>
        <v>0</v>
      </c>
      <c r="M108" s="44">
        <f>Composite!L250</f>
        <v>0</v>
      </c>
      <c r="N108" s="24">
        <f>Composite!M250</f>
        <v>0</v>
      </c>
      <c r="O108" s="44">
        <f>Composite!N250</f>
        <v>0</v>
      </c>
      <c r="P108" s="24">
        <f>Composite!O250</f>
        <v>0</v>
      </c>
      <c r="Q108" s="44">
        <f>Composite!P250</f>
        <v>0</v>
      </c>
      <c r="R108" s="44" t="str">
        <f>Composite!Q250</f>
        <v/>
      </c>
    </row>
    <row r="109" spans="1:18" ht="25.5">
      <c r="A109" t="s">
        <v>50</v>
      </c>
      <c r="B109" t="str">
        <f t="shared" si="1"/>
        <v>Tier2_indor2_HZ2_efafHeatkwh</v>
      </c>
      <c r="C109" s="24" t="str">
        <f>Composite!B251</f>
        <v>Tier2_indor2_HZ2_efaf</v>
      </c>
      <c r="D109" s="24" t="str">
        <f>Composite!C251</f>
        <v>Heatkwh</v>
      </c>
      <c r="E109" s="44">
        <f>Composite!D251</f>
        <v>-57.136531490288064</v>
      </c>
      <c r="F109" s="24">
        <f>Composite!E251</f>
        <v>13</v>
      </c>
      <c r="G109" s="44">
        <f>Composite!F251</f>
        <v>0</v>
      </c>
      <c r="H109" s="44">
        <f>Composite!G251</f>
        <v>0</v>
      </c>
      <c r="I109" s="24" t="str">
        <f>Composite!H251</f>
        <v>ResSpHtFAFZ2</v>
      </c>
      <c r="J109" s="44">
        <f>Composite!I251</f>
        <v>-0.5698269604489492</v>
      </c>
      <c r="K109" s="44">
        <f>Composite!J251</f>
        <v>0</v>
      </c>
      <c r="L109" s="24">
        <f>Composite!K251</f>
        <v>0</v>
      </c>
      <c r="M109" s="44">
        <f>Composite!L251</f>
        <v>0</v>
      </c>
      <c r="N109" s="24">
        <f>Composite!M251</f>
        <v>0</v>
      </c>
      <c r="O109" s="44">
        <f>Composite!N251</f>
        <v>0</v>
      </c>
      <c r="P109" s="24">
        <f>Composite!O251</f>
        <v>0</v>
      </c>
      <c r="Q109" s="44">
        <f>Composite!P251</f>
        <v>-4.2868288352899742E-2</v>
      </c>
      <c r="R109" s="44" t="str">
        <f>Composite!Q251</f>
        <v>ResSpHtFAFZ2</v>
      </c>
    </row>
    <row r="110" spans="1:18" ht="25.5">
      <c r="A110" t="s">
        <v>50</v>
      </c>
      <c r="B110" t="str">
        <f t="shared" si="1"/>
        <v>Tier2_indor2_HZ2_efafCoolkwh</v>
      </c>
      <c r="C110" s="24" t="str">
        <f>Composite!B252</f>
        <v>Tier2_indor2_HZ2_efaf</v>
      </c>
      <c r="D110" s="24" t="str">
        <f>Composite!C252</f>
        <v>Coolkwh</v>
      </c>
      <c r="E110" s="44">
        <f>Composite!D252</f>
        <v>0</v>
      </c>
      <c r="F110" s="24">
        <f>Composite!E252</f>
        <v>13</v>
      </c>
      <c r="G110" s="44">
        <f>Composite!F252</f>
        <v>0</v>
      </c>
      <c r="H110" s="44">
        <f>Composite!G252</f>
        <v>0</v>
      </c>
      <c r="I110" s="24" t="str">
        <f>Composite!H252</f>
        <v>ResCACPNW</v>
      </c>
      <c r="J110" s="44">
        <f>Composite!I252</f>
        <v>-0.5698269604489492</v>
      </c>
      <c r="K110" s="44">
        <f>Composite!J252</f>
        <v>0</v>
      </c>
      <c r="L110" s="24">
        <f>Composite!K252</f>
        <v>0</v>
      </c>
      <c r="M110" s="44">
        <f>Composite!L252</f>
        <v>0</v>
      </c>
      <c r="N110" s="24">
        <f>Composite!M252</f>
        <v>0</v>
      </c>
      <c r="O110" s="44">
        <f>Composite!N252</f>
        <v>0</v>
      </c>
      <c r="P110" s="24">
        <f>Composite!O252</f>
        <v>0</v>
      </c>
      <c r="Q110" s="44">
        <f>Composite!P252</f>
        <v>0</v>
      </c>
      <c r="R110" s="44" t="str">
        <f>Composite!Q252</f>
        <v/>
      </c>
    </row>
    <row r="111" spans="1:18">
      <c r="A111" t="s">
        <v>50</v>
      </c>
      <c r="B111" t="str">
        <f t="shared" si="1"/>
        <v>Tier2_indor2_HZ2_hp85DHWkwh</v>
      </c>
      <c r="C111" s="24" t="str">
        <f>Composite!B253</f>
        <v>Tier2_indor2_HZ2_hp85</v>
      </c>
      <c r="D111" s="24" t="str">
        <f>Composite!C253</f>
        <v>DHWkwh</v>
      </c>
      <c r="E111" s="44">
        <f>Composite!D253</f>
        <v>89.6325561550766</v>
      </c>
      <c r="F111" s="24">
        <f>Composite!E253</f>
        <v>13</v>
      </c>
      <c r="G111" s="44">
        <f>Composite!F253</f>
        <v>1183.5005381933265</v>
      </c>
      <c r="H111" s="44">
        <f>Composite!G253</f>
        <v>0</v>
      </c>
      <c r="I111" s="24" t="str">
        <f>Composite!H253</f>
        <v>ResDHW</v>
      </c>
      <c r="J111" s="44">
        <f>Composite!I253</f>
        <v>-0.42317667373126433</v>
      </c>
      <c r="K111" s="44">
        <f>Composite!J253</f>
        <v>0</v>
      </c>
      <c r="L111" s="24">
        <f>Composite!K253</f>
        <v>0</v>
      </c>
      <c r="M111" s="44">
        <f>Composite!L253</f>
        <v>0</v>
      </c>
      <c r="N111" s="24">
        <f>Composite!M253</f>
        <v>0</v>
      </c>
      <c r="O111" s="44">
        <f>Composite!N253</f>
        <v>0</v>
      </c>
      <c r="P111" s="24">
        <f>Composite!O253</f>
        <v>0</v>
      </c>
      <c r="Q111" s="44">
        <f>Composite!P253</f>
        <v>0</v>
      </c>
      <c r="R111" s="44" t="str">
        <f>Composite!Q253</f>
        <v/>
      </c>
    </row>
    <row r="112" spans="1:18" ht="25.5">
      <c r="A112" t="s">
        <v>50</v>
      </c>
      <c r="B112" t="str">
        <f t="shared" si="1"/>
        <v>Tier2_indor2_HZ2_hp85Heatkwh</v>
      </c>
      <c r="C112" s="24" t="str">
        <f>Composite!B254</f>
        <v>Tier2_indor2_HZ2_hp85</v>
      </c>
      <c r="D112" s="24" t="str">
        <f>Composite!C254</f>
        <v>Heatkwh</v>
      </c>
      <c r="E112" s="44">
        <f>Composite!D254</f>
        <v>-42.431911830833741</v>
      </c>
      <c r="F112" s="24">
        <f>Composite!E254</f>
        <v>13</v>
      </c>
      <c r="G112" s="44">
        <f>Composite!F254</f>
        <v>0</v>
      </c>
      <c r="H112" s="44">
        <f>Composite!G254</f>
        <v>0</v>
      </c>
      <c r="I112" s="24" t="str">
        <f>Composite!H254</f>
        <v>ResSpHtHPZ2</v>
      </c>
      <c r="J112" s="44">
        <f>Composite!I254</f>
        <v>-0.42317667373126433</v>
      </c>
      <c r="K112" s="44">
        <f>Composite!J254</f>
        <v>0</v>
      </c>
      <c r="L112" s="24">
        <f>Composite!K254</f>
        <v>0</v>
      </c>
      <c r="M112" s="44">
        <f>Composite!L254</f>
        <v>0</v>
      </c>
      <c r="N112" s="24">
        <f>Composite!M254</f>
        <v>0</v>
      </c>
      <c r="O112" s="44">
        <f>Composite!N254</f>
        <v>0</v>
      </c>
      <c r="P112" s="24">
        <f>Composite!O254</f>
        <v>0</v>
      </c>
      <c r="Q112" s="44">
        <f>Composite!P254</f>
        <v>-3.1835734236653479E-2</v>
      </c>
      <c r="R112" s="44" t="str">
        <f>Composite!Q254</f>
        <v>ResSpHtHPZ2</v>
      </c>
    </row>
    <row r="113" spans="1:18" ht="25.5">
      <c r="A113" t="s">
        <v>50</v>
      </c>
      <c r="B113" t="str">
        <f t="shared" si="1"/>
        <v>Tier2_indor2_HZ2_hp85Coolkwh</v>
      </c>
      <c r="C113" s="24" t="str">
        <f>Composite!B255</f>
        <v>Tier2_indor2_HZ2_hp85</v>
      </c>
      <c r="D113" s="24" t="str">
        <f>Composite!C255</f>
        <v>Coolkwh</v>
      </c>
      <c r="E113" s="44">
        <f>Composite!D255</f>
        <v>-4.4474205089167533</v>
      </c>
      <c r="F113" s="24">
        <f>Composite!E255</f>
        <v>13</v>
      </c>
      <c r="G113" s="44">
        <f>Composite!F255</f>
        <v>0</v>
      </c>
      <c r="H113" s="44">
        <f>Composite!G255</f>
        <v>0</v>
      </c>
      <c r="I113" s="24" t="str">
        <f>Composite!H255</f>
        <v>ResCACPNW</v>
      </c>
      <c r="J113" s="44">
        <f>Composite!I255</f>
        <v>-0.42317667373126433</v>
      </c>
      <c r="K113" s="44">
        <f>Composite!J255</f>
        <v>0</v>
      </c>
      <c r="L113" s="24">
        <f>Composite!K255</f>
        <v>0</v>
      </c>
      <c r="M113" s="44">
        <f>Composite!L255</f>
        <v>0</v>
      </c>
      <c r="N113" s="24">
        <f>Composite!M255</f>
        <v>0</v>
      </c>
      <c r="O113" s="44">
        <f>Composite!N255</f>
        <v>0</v>
      </c>
      <c r="P113" s="24">
        <f>Composite!O255</f>
        <v>0</v>
      </c>
      <c r="Q113" s="44">
        <f>Composite!P255</f>
        <v>0</v>
      </c>
      <c r="R113" s="44" t="str">
        <f>Composite!Q255</f>
        <v/>
      </c>
    </row>
    <row r="114" spans="1:18">
      <c r="A114" t="s">
        <v>50</v>
      </c>
      <c r="B114" t="str">
        <f t="shared" si="1"/>
        <v>Tier2_indor2_HZ2_zonlDHWkwh</v>
      </c>
      <c r="C114" s="24" t="str">
        <f>Composite!B256</f>
        <v>Tier2_indor2_HZ2_zonl</v>
      </c>
      <c r="D114" s="24" t="str">
        <f>Composite!C256</f>
        <v>DHWkwh</v>
      </c>
      <c r="E114" s="44">
        <f>Composite!D256</f>
        <v>81.002728246778815</v>
      </c>
      <c r="F114" s="24">
        <f>Composite!E256</f>
        <v>13</v>
      </c>
      <c r="G114" s="44">
        <f>Composite!F256</f>
        <v>1183.5005381933265</v>
      </c>
      <c r="H114" s="44">
        <f>Composite!G256</f>
        <v>0</v>
      </c>
      <c r="I114" s="24" t="str">
        <f>Composite!H256</f>
        <v>ResDHW</v>
      </c>
      <c r="J114" s="44">
        <f>Composite!I256</f>
        <v>-0.50517524358254429</v>
      </c>
      <c r="K114" s="44">
        <f>Composite!J256</f>
        <v>0</v>
      </c>
      <c r="L114" s="24">
        <f>Composite!K256</f>
        <v>0</v>
      </c>
      <c r="M114" s="44">
        <f>Composite!L256</f>
        <v>0</v>
      </c>
      <c r="N114" s="24">
        <f>Composite!M256</f>
        <v>0</v>
      </c>
      <c r="O114" s="44">
        <f>Composite!N256</f>
        <v>0</v>
      </c>
      <c r="P114" s="24">
        <f>Composite!O256</f>
        <v>0</v>
      </c>
      <c r="Q114" s="44">
        <f>Composite!P256</f>
        <v>0</v>
      </c>
      <c r="R114" s="44" t="str">
        <f>Composite!Q256</f>
        <v/>
      </c>
    </row>
    <row r="115" spans="1:18" ht="25.5">
      <c r="A115" t="s">
        <v>50</v>
      </c>
      <c r="B115" t="str">
        <f t="shared" si="1"/>
        <v>Tier2_indor2_HZ2_zonlHeatkwh</v>
      </c>
      <c r="C115" s="24" t="str">
        <f>Composite!B257</f>
        <v>Tier2_indor2_HZ2_zonl</v>
      </c>
      <c r="D115" s="24" t="str">
        <f>Composite!C257</f>
        <v>Heatkwh</v>
      </c>
      <c r="E115" s="44">
        <f>Composite!D257</f>
        <v>-50.653905863504576</v>
      </c>
      <c r="F115" s="24">
        <f>Composite!E257</f>
        <v>13</v>
      </c>
      <c r="G115" s="44">
        <f>Composite!F257</f>
        <v>0</v>
      </c>
      <c r="H115" s="44">
        <f>Composite!G257</f>
        <v>0</v>
      </c>
      <c r="I115" s="24" t="str">
        <f>Composite!H257</f>
        <v>ResSpHtBBZ2</v>
      </c>
      <c r="J115" s="44">
        <f>Composite!I257</f>
        <v>-0.50517524358254429</v>
      </c>
      <c r="K115" s="44">
        <f>Composite!J257</f>
        <v>0</v>
      </c>
      <c r="L115" s="24">
        <f>Composite!K257</f>
        <v>0</v>
      </c>
      <c r="M115" s="44">
        <f>Composite!L257</f>
        <v>0</v>
      </c>
      <c r="N115" s="24">
        <f>Composite!M257</f>
        <v>0</v>
      </c>
      <c r="O115" s="44">
        <f>Composite!N257</f>
        <v>0</v>
      </c>
      <c r="P115" s="24">
        <f>Composite!O257</f>
        <v>0</v>
      </c>
      <c r="Q115" s="44">
        <f>Composite!P257</f>
        <v>-3.8004516307162423E-2</v>
      </c>
      <c r="R115" s="44" t="str">
        <f>Composite!Q257</f>
        <v>ResSpHtBBZ2</v>
      </c>
    </row>
    <row r="116" spans="1:18" ht="25.5">
      <c r="A116" t="s">
        <v>50</v>
      </c>
      <c r="B116" t="str">
        <f t="shared" si="1"/>
        <v>Tier2_indor2_HZ2_zonlCoolkwh</v>
      </c>
      <c r="C116" s="24" t="str">
        <f>Composite!B258</f>
        <v>Tier2_indor2_HZ2_zonl</v>
      </c>
      <c r="D116" s="24" t="str">
        <f>Composite!C258</f>
        <v>Coolkwh</v>
      </c>
      <c r="E116" s="44">
        <f>Composite!D258</f>
        <v>0</v>
      </c>
      <c r="F116" s="24">
        <f>Composite!E258</f>
        <v>13</v>
      </c>
      <c r="G116" s="44">
        <f>Composite!F258</f>
        <v>0</v>
      </c>
      <c r="H116" s="44">
        <f>Composite!G258</f>
        <v>0</v>
      </c>
      <c r="I116" s="24" t="str">
        <f>Composite!H258</f>
        <v>ResCACPNW</v>
      </c>
      <c r="J116" s="44">
        <f>Composite!I258</f>
        <v>-0.50517524358254429</v>
      </c>
      <c r="K116" s="44">
        <f>Composite!J258</f>
        <v>0</v>
      </c>
      <c r="L116" s="24">
        <f>Composite!K258</f>
        <v>0</v>
      </c>
      <c r="M116" s="44">
        <f>Composite!L258</f>
        <v>0</v>
      </c>
      <c r="N116" s="24">
        <f>Composite!M258</f>
        <v>0</v>
      </c>
      <c r="O116" s="44">
        <f>Composite!N258</f>
        <v>0</v>
      </c>
      <c r="P116" s="24">
        <f>Composite!O258</f>
        <v>0</v>
      </c>
      <c r="Q116" s="44">
        <f>Composite!P258</f>
        <v>0</v>
      </c>
      <c r="R116" s="44" t="str">
        <f>Composite!Q258</f>
        <v/>
      </c>
    </row>
    <row r="117" spans="1:18">
      <c r="A117" t="s">
        <v>50</v>
      </c>
      <c r="B117" t="str">
        <f t="shared" si="1"/>
        <v>Tier2_indor2_HZ3_gfncDHWkwh</v>
      </c>
      <c r="C117" s="24" t="str">
        <f>Composite!B259</f>
        <v>Tier2_indor2_HZ3_gfnc</v>
      </c>
      <c r="D117" s="24" t="str">
        <f>Composite!C259</f>
        <v>DHWkwh</v>
      </c>
      <c r="E117" s="44">
        <f>Composite!D259</f>
        <v>109.59330593789969</v>
      </c>
      <c r="F117" s="24">
        <f>Composite!E259</f>
        <v>13</v>
      </c>
      <c r="G117" s="44">
        <f>Composite!F259</f>
        <v>1183.5005381933265</v>
      </c>
      <c r="H117" s="44">
        <f>Composite!G259</f>
        <v>0</v>
      </c>
      <c r="I117" s="24" t="str">
        <f>Composite!H259</f>
        <v>ResDHW</v>
      </c>
      <c r="J117" s="44">
        <f>Composite!I259</f>
        <v>-0.7604303497041478</v>
      </c>
      <c r="K117" s="44">
        <f>Composite!J259</f>
        <v>0</v>
      </c>
      <c r="L117" s="24">
        <f>Composite!K259</f>
        <v>0</v>
      </c>
      <c r="M117" s="44">
        <f>Composite!L259</f>
        <v>0</v>
      </c>
      <c r="N117" s="24">
        <f>Composite!M259</f>
        <v>0</v>
      </c>
      <c r="O117" s="44">
        <f>Composite!N259</f>
        <v>0</v>
      </c>
      <c r="P117" s="24">
        <f>Composite!O259</f>
        <v>0</v>
      </c>
      <c r="Q117" s="44">
        <f>Composite!P259</f>
        <v>0</v>
      </c>
      <c r="R117" s="44" t="str">
        <f>Composite!Q259</f>
        <v/>
      </c>
    </row>
    <row r="118" spans="1:18" ht="25.5">
      <c r="A118" t="s">
        <v>50</v>
      </c>
      <c r="B118" t="str">
        <f t="shared" si="1"/>
        <v>Tier2_indor2_HZ3_gfncHeatkwh</v>
      </c>
      <c r="C118" s="24" t="str">
        <f>Composite!B260</f>
        <v>Tier2_indor2_HZ3_gfnc</v>
      </c>
      <c r="D118" s="24" t="str">
        <f>Composite!C260</f>
        <v>Heatkwh</v>
      </c>
      <c r="E118" s="44">
        <f>Composite!D260</f>
        <v>-2.1511271742279625</v>
      </c>
      <c r="F118" s="24">
        <f>Composite!E260</f>
        <v>13</v>
      </c>
      <c r="G118" s="44">
        <f>Composite!F260</f>
        <v>0</v>
      </c>
      <c r="H118" s="44">
        <f>Composite!G260</f>
        <v>0</v>
      </c>
      <c r="I118" s="24" t="str">
        <f>Composite!H260</f>
        <v>ResSpHtFAFZ3</v>
      </c>
      <c r="J118" s="44">
        <f>Composite!I260</f>
        <v>-0.7604303497041478</v>
      </c>
      <c r="K118" s="44">
        <f>Composite!J260</f>
        <v>0</v>
      </c>
      <c r="L118" s="24">
        <f>Composite!K260</f>
        <v>0</v>
      </c>
      <c r="M118" s="44">
        <f>Composite!L260</f>
        <v>0</v>
      </c>
      <c r="N118" s="24">
        <f>Composite!M260</f>
        <v>0</v>
      </c>
      <c r="O118" s="44">
        <f>Composite!N260</f>
        <v>0</v>
      </c>
      <c r="P118" s="24">
        <f>Composite!O260</f>
        <v>0</v>
      </c>
      <c r="Q118" s="44">
        <f>Composite!P260</f>
        <v>-2.8948960949550653</v>
      </c>
      <c r="R118" s="44" t="str">
        <f>Composite!Q260</f>
        <v>ResSpHtFAFZ3</v>
      </c>
    </row>
    <row r="119" spans="1:18" ht="25.5">
      <c r="A119" t="s">
        <v>50</v>
      </c>
      <c r="B119" t="str">
        <f t="shared" si="1"/>
        <v>Tier2_indor2_HZ3_gfncCoolkwh</v>
      </c>
      <c r="C119" s="24" t="str">
        <f>Composite!B261</f>
        <v>Tier2_indor2_HZ3_gfnc</v>
      </c>
      <c r="D119" s="24" t="str">
        <f>Composite!C261</f>
        <v>Coolkwh</v>
      </c>
      <c r="E119" s="44">
        <f>Composite!D261</f>
        <v>0</v>
      </c>
      <c r="F119" s="24">
        <f>Composite!E261</f>
        <v>13</v>
      </c>
      <c r="G119" s="44">
        <f>Composite!F261</f>
        <v>0</v>
      </c>
      <c r="H119" s="44">
        <f>Composite!G261</f>
        <v>0</v>
      </c>
      <c r="I119" s="24" t="str">
        <f>Composite!H261</f>
        <v>ResCACPNW</v>
      </c>
      <c r="J119" s="44">
        <f>Composite!I261</f>
        <v>-0.7604303497041478</v>
      </c>
      <c r="K119" s="44">
        <f>Composite!J261</f>
        <v>0</v>
      </c>
      <c r="L119" s="24">
        <f>Composite!K261</f>
        <v>0</v>
      </c>
      <c r="M119" s="44">
        <f>Composite!L261</f>
        <v>0</v>
      </c>
      <c r="N119" s="24">
        <f>Composite!M261</f>
        <v>0</v>
      </c>
      <c r="O119" s="44">
        <f>Composite!N261</f>
        <v>0</v>
      </c>
      <c r="P119" s="24">
        <f>Composite!O261</f>
        <v>0</v>
      </c>
      <c r="Q119" s="44">
        <f>Composite!P261</f>
        <v>0</v>
      </c>
      <c r="R119" s="44" t="str">
        <f>Composite!Q261</f>
        <v/>
      </c>
    </row>
    <row r="120" spans="1:18">
      <c r="A120" t="s">
        <v>50</v>
      </c>
      <c r="B120" t="str">
        <f t="shared" si="1"/>
        <v>Tier2_indor2_HZ3_gfacDHWkwh</v>
      </c>
      <c r="C120" s="24" t="str">
        <f>Composite!B262</f>
        <v>Tier2_indor2_HZ3_gfac</v>
      </c>
      <c r="D120" s="24" t="str">
        <f>Composite!C262</f>
        <v>DHWkwh</v>
      </c>
      <c r="E120" s="44">
        <f>Composite!D262</f>
        <v>115.23941842478985</v>
      </c>
      <c r="F120" s="24">
        <f>Composite!E262</f>
        <v>13</v>
      </c>
      <c r="G120" s="44">
        <f>Composite!F262</f>
        <v>1183.5005381933265</v>
      </c>
      <c r="H120" s="44">
        <f>Composite!G262</f>
        <v>0</v>
      </c>
      <c r="I120" s="24" t="str">
        <f>Composite!H262</f>
        <v>ResDHW</v>
      </c>
      <c r="J120" s="44">
        <f>Composite!I262</f>
        <v>-0.7807355890106118</v>
      </c>
      <c r="K120" s="44">
        <f>Composite!J262</f>
        <v>0</v>
      </c>
      <c r="L120" s="24">
        <f>Composite!K262</f>
        <v>0</v>
      </c>
      <c r="M120" s="44">
        <f>Composite!L262</f>
        <v>0</v>
      </c>
      <c r="N120" s="24">
        <f>Composite!M262</f>
        <v>0</v>
      </c>
      <c r="O120" s="44">
        <f>Composite!N262</f>
        <v>0</v>
      </c>
      <c r="P120" s="24">
        <f>Composite!O262</f>
        <v>0</v>
      </c>
      <c r="Q120" s="44">
        <f>Composite!P262</f>
        <v>0</v>
      </c>
      <c r="R120" s="44" t="str">
        <f>Composite!Q262</f>
        <v/>
      </c>
    </row>
    <row r="121" spans="1:18" ht="25.5">
      <c r="A121" t="s">
        <v>50</v>
      </c>
      <c r="B121" t="str">
        <f t="shared" si="1"/>
        <v>Tier2_indor2_HZ3_gfacHeatkwh</v>
      </c>
      <c r="C121" s="24" t="str">
        <f>Composite!B263</f>
        <v>Tier2_indor2_HZ3_gfac</v>
      </c>
      <c r="D121" s="24" t="str">
        <f>Composite!C263</f>
        <v>Heatkwh</v>
      </c>
      <c r="E121" s="44">
        <f>Composite!D263</f>
        <v>-2.2676368651478871</v>
      </c>
      <c r="F121" s="24">
        <f>Composite!E263</f>
        <v>13</v>
      </c>
      <c r="G121" s="44">
        <f>Composite!F263</f>
        <v>0</v>
      </c>
      <c r="H121" s="44">
        <f>Composite!G263</f>
        <v>0</v>
      </c>
      <c r="I121" s="24" t="str">
        <f>Composite!H263</f>
        <v>ResSpHtFAFZ3</v>
      </c>
      <c r="J121" s="44">
        <f>Composite!I263</f>
        <v>-0.7807355890106118</v>
      </c>
      <c r="K121" s="44">
        <f>Composite!J263</f>
        <v>0</v>
      </c>
      <c r="L121" s="24">
        <f>Composite!K263</f>
        <v>0</v>
      </c>
      <c r="M121" s="44">
        <f>Composite!L263</f>
        <v>0</v>
      </c>
      <c r="N121" s="24">
        <f>Composite!M263</f>
        <v>0</v>
      </c>
      <c r="O121" s="44">
        <f>Composite!N263</f>
        <v>0</v>
      </c>
      <c r="P121" s="24">
        <f>Composite!O263</f>
        <v>0</v>
      </c>
      <c r="Q121" s="44">
        <f>Composite!P263</f>
        <v>-2.969934298002098</v>
      </c>
      <c r="R121" s="44" t="str">
        <f>Composite!Q263</f>
        <v>ResSpHtFAFZ3</v>
      </c>
    </row>
    <row r="122" spans="1:18" ht="25.5">
      <c r="A122" t="s">
        <v>50</v>
      </c>
      <c r="B122" t="str">
        <f t="shared" si="1"/>
        <v>Tier2_indor2_HZ3_gfacCoolkwh</v>
      </c>
      <c r="C122" s="24" t="str">
        <f>Composite!B264</f>
        <v>Tier2_indor2_HZ3_gfac</v>
      </c>
      <c r="D122" s="24" t="str">
        <f>Composite!C264</f>
        <v>Coolkwh</v>
      </c>
      <c r="E122" s="44">
        <f>Composite!D264</f>
        <v>-2.5978749772121503</v>
      </c>
      <c r="F122" s="24">
        <f>Composite!E264</f>
        <v>13</v>
      </c>
      <c r="G122" s="44">
        <f>Composite!F264</f>
        <v>0</v>
      </c>
      <c r="H122" s="44">
        <f>Composite!G264</f>
        <v>0</v>
      </c>
      <c r="I122" s="24" t="str">
        <f>Composite!H264</f>
        <v>ResCACPNW</v>
      </c>
      <c r="J122" s="44">
        <f>Composite!I264</f>
        <v>-0.7807355890106118</v>
      </c>
      <c r="K122" s="44">
        <f>Composite!J264</f>
        <v>0</v>
      </c>
      <c r="L122" s="24">
        <f>Composite!K264</f>
        <v>0</v>
      </c>
      <c r="M122" s="44">
        <f>Composite!L264</f>
        <v>0</v>
      </c>
      <c r="N122" s="24">
        <f>Composite!M264</f>
        <v>0</v>
      </c>
      <c r="O122" s="44">
        <f>Composite!N264</f>
        <v>0</v>
      </c>
      <c r="P122" s="24">
        <f>Composite!O264</f>
        <v>0</v>
      </c>
      <c r="Q122" s="44">
        <f>Composite!P264</f>
        <v>0</v>
      </c>
      <c r="R122" s="44" t="str">
        <f>Composite!Q264</f>
        <v/>
      </c>
    </row>
    <row r="123" spans="1:18">
      <c r="A123" t="s">
        <v>50</v>
      </c>
      <c r="B123" t="str">
        <f t="shared" si="1"/>
        <v>Tier2_indor2_HZ3_efafDHWkwh</v>
      </c>
      <c r="C123" s="24" t="str">
        <f>Composite!B265</f>
        <v>Tier2_indor2_HZ3_efaf</v>
      </c>
      <c r="D123" s="24" t="str">
        <f>Composite!C265</f>
        <v>DHWkwh</v>
      </c>
      <c r="E123" s="44">
        <f>Composite!D265</f>
        <v>109.59330593789969</v>
      </c>
      <c r="F123" s="24">
        <f>Composite!E265</f>
        <v>13</v>
      </c>
      <c r="G123" s="44">
        <f>Composite!F265</f>
        <v>1183.5005381933265</v>
      </c>
      <c r="H123" s="44">
        <f>Composite!G265</f>
        <v>0</v>
      </c>
      <c r="I123" s="24" t="str">
        <f>Composite!H265</f>
        <v>ResDHW</v>
      </c>
      <c r="J123" s="44">
        <f>Composite!I265</f>
        <v>-0.53567700994072709</v>
      </c>
      <c r="K123" s="44">
        <f>Composite!J265</f>
        <v>0</v>
      </c>
      <c r="L123" s="24">
        <f>Composite!K265</f>
        <v>0</v>
      </c>
      <c r="M123" s="44">
        <f>Composite!L265</f>
        <v>0</v>
      </c>
      <c r="N123" s="24">
        <f>Composite!M265</f>
        <v>0</v>
      </c>
      <c r="O123" s="44">
        <f>Composite!N265</f>
        <v>0</v>
      </c>
      <c r="P123" s="24">
        <f>Composite!O265</f>
        <v>0</v>
      </c>
      <c r="Q123" s="44">
        <f>Composite!P265</f>
        <v>0</v>
      </c>
      <c r="R123" s="44" t="str">
        <f>Composite!Q265</f>
        <v/>
      </c>
    </row>
    <row r="124" spans="1:18" ht="25.5">
      <c r="A124" t="s">
        <v>50</v>
      </c>
      <c r="B124" t="str">
        <f t="shared" si="1"/>
        <v>Tier2_indor2_HZ3_efafHeatkwh</v>
      </c>
      <c r="C124" s="24" t="str">
        <f>Composite!B266</f>
        <v>Tier2_indor2_HZ3_efaf</v>
      </c>
      <c r="D124" s="24" t="str">
        <f>Composite!C266</f>
        <v>Heatkwh</v>
      </c>
      <c r="E124" s="44">
        <f>Composite!D266</f>
        <v>-53.712317021622823</v>
      </c>
      <c r="F124" s="24">
        <f>Composite!E266</f>
        <v>13</v>
      </c>
      <c r="G124" s="44">
        <f>Composite!F266</f>
        <v>0</v>
      </c>
      <c r="H124" s="44">
        <f>Composite!G266</f>
        <v>0</v>
      </c>
      <c r="I124" s="24" t="str">
        <f>Composite!H266</f>
        <v>ResSpHtFAFZ3</v>
      </c>
      <c r="J124" s="44">
        <f>Composite!I266</f>
        <v>-0.53567700994072709</v>
      </c>
      <c r="K124" s="44">
        <f>Composite!J266</f>
        <v>0</v>
      </c>
      <c r="L124" s="24">
        <f>Composite!K266</f>
        <v>0</v>
      </c>
      <c r="M124" s="44">
        <f>Composite!L266</f>
        <v>0</v>
      </c>
      <c r="N124" s="24">
        <f>Composite!M266</f>
        <v>0</v>
      </c>
      <c r="O124" s="44">
        <f>Composite!N266</f>
        <v>0</v>
      </c>
      <c r="P124" s="24">
        <f>Composite!O266</f>
        <v>0</v>
      </c>
      <c r="Q124" s="44">
        <f>Composite!P266</f>
        <v>-4.0299175223415029E-2</v>
      </c>
      <c r="R124" s="44" t="str">
        <f>Composite!Q266</f>
        <v>ResSpHtFAFZ3</v>
      </c>
    </row>
    <row r="125" spans="1:18" ht="25.5">
      <c r="A125" t="s">
        <v>50</v>
      </c>
      <c r="B125" t="str">
        <f t="shared" si="1"/>
        <v>Tier2_indor2_HZ3_efafCoolkwh</v>
      </c>
      <c r="C125" s="24" t="str">
        <f>Composite!B267</f>
        <v>Tier2_indor2_HZ3_efaf</v>
      </c>
      <c r="D125" s="24" t="str">
        <f>Composite!C267</f>
        <v>Coolkwh</v>
      </c>
      <c r="E125" s="44">
        <f>Composite!D267</f>
        <v>0</v>
      </c>
      <c r="F125" s="24">
        <f>Composite!E267</f>
        <v>13</v>
      </c>
      <c r="G125" s="44">
        <f>Composite!F267</f>
        <v>0</v>
      </c>
      <c r="H125" s="44">
        <f>Composite!G267</f>
        <v>0</v>
      </c>
      <c r="I125" s="24" t="str">
        <f>Composite!H267</f>
        <v>ResCACPNW</v>
      </c>
      <c r="J125" s="44">
        <f>Composite!I267</f>
        <v>-0.53567700994072709</v>
      </c>
      <c r="K125" s="44">
        <f>Composite!J267</f>
        <v>0</v>
      </c>
      <c r="L125" s="24">
        <f>Composite!K267</f>
        <v>0</v>
      </c>
      <c r="M125" s="44">
        <f>Composite!L267</f>
        <v>0</v>
      </c>
      <c r="N125" s="24">
        <f>Composite!M267</f>
        <v>0</v>
      </c>
      <c r="O125" s="44">
        <f>Composite!N267</f>
        <v>0</v>
      </c>
      <c r="P125" s="24">
        <f>Composite!O267</f>
        <v>0</v>
      </c>
      <c r="Q125" s="44">
        <f>Composite!P267</f>
        <v>0</v>
      </c>
      <c r="R125" s="44" t="str">
        <f>Composite!Q267</f>
        <v/>
      </c>
    </row>
    <row r="126" spans="1:18">
      <c r="A126" t="s">
        <v>50</v>
      </c>
      <c r="B126" t="str">
        <f t="shared" si="1"/>
        <v>Tier2_indor2_HZ3_hp85DHWkwh</v>
      </c>
      <c r="C126" s="24" t="str">
        <f>Composite!B268</f>
        <v>Tier2_indor2_HZ3_hp85</v>
      </c>
      <c r="D126" s="24" t="str">
        <f>Composite!C268</f>
        <v>DHWkwh</v>
      </c>
      <c r="E126" s="44">
        <f>Composite!D268</f>
        <v>115.35182958543555</v>
      </c>
      <c r="F126" s="24">
        <f>Composite!E268</f>
        <v>13</v>
      </c>
      <c r="G126" s="44">
        <f>Composite!F268</f>
        <v>1183.5005381933265</v>
      </c>
      <c r="H126" s="44">
        <f>Composite!G268</f>
        <v>0</v>
      </c>
      <c r="I126" s="24" t="str">
        <f>Composite!H268</f>
        <v>ResDHW</v>
      </c>
      <c r="J126" s="44">
        <f>Composite!I268</f>
        <v>-0.47613744524803625</v>
      </c>
      <c r="K126" s="44">
        <f>Composite!J268</f>
        <v>0</v>
      </c>
      <c r="L126" s="24">
        <f>Composite!K268</f>
        <v>0</v>
      </c>
      <c r="M126" s="44">
        <f>Composite!L268</f>
        <v>0</v>
      </c>
      <c r="N126" s="24">
        <f>Composite!M268</f>
        <v>0</v>
      </c>
      <c r="O126" s="44">
        <f>Composite!N268</f>
        <v>0</v>
      </c>
      <c r="P126" s="24">
        <f>Composite!O268</f>
        <v>0</v>
      </c>
      <c r="Q126" s="44">
        <f>Composite!P268</f>
        <v>0</v>
      </c>
      <c r="R126" s="44" t="str">
        <f>Composite!Q268</f>
        <v/>
      </c>
    </row>
    <row r="127" spans="1:18" ht="25.5">
      <c r="A127" t="s">
        <v>50</v>
      </c>
      <c r="B127" t="str">
        <f t="shared" si="1"/>
        <v>Tier2_indor2_HZ3_hp85Heatkwh</v>
      </c>
      <c r="C127" s="24" t="str">
        <f>Composite!B269</f>
        <v>Tier2_indor2_HZ3_hp85</v>
      </c>
      <c r="D127" s="24" t="str">
        <f>Composite!C269</f>
        <v>Heatkwh</v>
      </c>
      <c r="E127" s="44">
        <f>Composite!D269</f>
        <v>-47.742286733302166</v>
      </c>
      <c r="F127" s="24">
        <f>Composite!E269</f>
        <v>13</v>
      </c>
      <c r="G127" s="44">
        <f>Composite!F269</f>
        <v>0</v>
      </c>
      <c r="H127" s="44">
        <f>Composite!G269</f>
        <v>0</v>
      </c>
      <c r="I127" s="24" t="str">
        <f>Composite!H269</f>
        <v>ResSpHtHPZ3</v>
      </c>
      <c r="J127" s="44">
        <f>Composite!I269</f>
        <v>-0.47613744524803625</v>
      </c>
      <c r="K127" s="44">
        <f>Composite!J269</f>
        <v>0</v>
      </c>
      <c r="L127" s="24">
        <f>Composite!K269</f>
        <v>0</v>
      </c>
      <c r="M127" s="44">
        <f>Composite!L269</f>
        <v>0</v>
      </c>
      <c r="N127" s="24">
        <f>Composite!M269</f>
        <v>0</v>
      </c>
      <c r="O127" s="44">
        <f>Composite!N269</f>
        <v>0</v>
      </c>
      <c r="P127" s="24">
        <f>Composite!O269</f>
        <v>0</v>
      </c>
      <c r="Q127" s="44">
        <f>Composite!P269</f>
        <v>-3.5819992234878584E-2</v>
      </c>
      <c r="R127" s="44" t="str">
        <f>Composite!Q269</f>
        <v>ResSpHtHPZ3</v>
      </c>
    </row>
    <row r="128" spans="1:18" ht="25.5">
      <c r="A128" t="s">
        <v>50</v>
      </c>
      <c r="B128" t="str">
        <f t="shared" si="1"/>
        <v>Tier2_indor2_HZ3_hp85Coolkwh</v>
      </c>
      <c r="C128" s="24" t="str">
        <f>Composite!B270</f>
        <v>Tier2_indor2_HZ3_hp85</v>
      </c>
      <c r="D128" s="24" t="str">
        <f>Composite!C270</f>
        <v>Coolkwh</v>
      </c>
      <c r="E128" s="44">
        <f>Composite!D270</f>
        <v>-2.5879861293810578</v>
      </c>
      <c r="F128" s="24">
        <f>Composite!E270</f>
        <v>13</v>
      </c>
      <c r="G128" s="44">
        <f>Composite!F270</f>
        <v>0</v>
      </c>
      <c r="H128" s="44">
        <f>Composite!G270</f>
        <v>0</v>
      </c>
      <c r="I128" s="24" t="str">
        <f>Composite!H270</f>
        <v>ResCACPNW</v>
      </c>
      <c r="J128" s="44">
        <f>Composite!I270</f>
        <v>-0.47613744524803625</v>
      </c>
      <c r="K128" s="44">
        <f>Composite!J270</f>
        <v>0</v>
      </c>
      <c r="L128" s="24">
        <f>Composite!K270</f>
        <v>0</v>
      </c>
      <c r="M128" s="44">
        <f>Composite!L270</f>
        <v>0</v>
      </c>
      <c r="N128" s="24">
        <f>Composite!M270</f>
        <v>0</v>
      </c>
      <c r="O128" s="44">
        <f>Composite!N270</f>
        <v>0</v>
      </c>
      <c r="P128" s="24">
        <f>Composite!O270</f>
        <v>0</v>
      </c>
      <c r="Q128" s="44">
        <f>Composite!P270</f>
        <v>0</v>
      </c>
      <c r="R128" s="44" t="str">
        <f>Composite!Q270</f>
        <v/>
      </c>
    </row>
    <row r="129" spans="1:18">
      <c r="A129" t="s">
        <v>50</v>
      </c>
      <c r="B129" t="str">
        <f t="shared" si="1"/>
        <v>Tier2_indor2_HZ3_zonlDHWkwh</v>
      </c>
      <c r="C129" s="24" t="str">
        <f>Composite!B271</f>
        <v>Tier2_indor2_HZ3_zonl</v>
      </c>
      <c r="D129" s="24" t="str">
        <f>Composite!C271</f>
        <v>DHWkwh</v>
      </c>
      <c r="E129" s="44">
        <f>Composite!D271</f>
        <v>109.50942122294055</v>
      </c>
      <c r="F129" s="24">
        <f>Composite!E271</f>
        <v>13</v>
      </c>
      <c r="G129" s="44">
        <f>Composite!F271</f>
        <v>1183.5005381933265</v>
      </c>
      <c r="H129" s="44">
        <f>Composite!G271</f>
        <v>0</v>
      </c>
      <c r="I129" s="24" t="str">
        <f>Composite!H271</f>
        <v>ResDHW</v>
      </c>
      <c r="J129" s="44">
        <f>Composite!I271</f>
        <v>-0.47131370199922618</v>
      </c>
      <c r="K129" s="44">
        <f>Composite!J271</f>
        <v>0</v>
      </c>
      <c r="L129" s="24">
        <f>Composite!K271</f>
        <v>0</v>
      </c>
      <c r="M129" s="44">
        <f>Composite!L271</f>
        <v>0</v>
      </c>
      <c r="N129" s="24">
        <f>Composite!M271</f>
        <v>0</v>
      </c>
      <c r="O129" s="44">
        <f>Composite!N271</f>
        <v>0</v>
      </c>
      <c r="P129" s="24">
        <f>Composite!O271</f>
        <v>0</v>
      </c>
      <c r="Q129" s="44">
        <f>Composite!P271</f>
        <v>0</v>
      </c>
      <c r="R129" s="44" t="str">
        <f>Composite!Q271</f>
        <v/>
      </c>
    </row>
    <row r="130" spans="1:18" ht="25.5">
      <c r="A130" t="s">
        <v>50</v>
      </c>
      <c r="B130" t="str">
        <f t="shared" si="1"/>
        <v>Tier2_indor2_HZ3_zonlHeatkwh</v>
      </c>
      <c r="C130" s="24" t="str">
        <f>Composite!B272</f>
        <v>Tier2_indor2_HZ3_zonl</v>
      </c>
      <c r="D130" s="24" t="str">
        <f>Composite!C272</f>
        <v>Heatkwh</v>
      </c>
      <c r="E130" s="44">
        <f>Composite!D272</f>
        <v>-47.25861014871316</v>
      </c>
      <c r="F130" s="24">
        <f>Composite!E272</f>
        <v>13</v>
      </c>
      <c r="G130" s="44">
        <f>Composite!F272</f>
        <v>0</v>
      </c>
      <c r="H130" s="44">
        <f>Composite!G272</f>
        <v>0</v>
      </c>
      <c r="I130" s="24" t="str">
        <f>Composite!H272</f>
        <v>ResSpHtBBZ3</v>
      </c>
      <c r="J130" s="44">
        <f>Composite!I272</f>
        <v>-0.47131370199922618</v>
      </c>
      <c r="K130" s="44">
        <f>Composite!J272</f>
        <v>0</v>
      </c>
      <c r="L130" s="24">
        <f>Composite!K272</f>
        <v>0</v>
      </c>
      <c r="M130" s="44">
        <f>Composite!L272</f>
        <v>0</v>
      </c>
      <c r="N130" s="24">
        <f>Composite!M272</f>
        <v>0</v>
      </c>
      <c r="O130" s="44">
        <f>Composite!N272</f>
        <v>0</v>
      </c>
      <c r="P130" s="24">
        <f>Composite!O272</f>
        <v>0</v>
      </c>
      <c r="Q130" s="44">
        <f>Composite!P272</f>
        <v>-3.5457100285421816E-2</v>
      </c>
      <c r="R130" s="44" t="str">
        <f>Composite!Q272</f>
        <v>ResSpHtBBZ3</v>
      </c>
    </row>
    <row r="131" spans="1:18" ht="25.5">
      <c r="A131" t="s">
        <v>50</v>
      </c>
      <c r="B131" t="str">
        <f t="shared" si="1"/>
        <v>Tier2_indor2_HZ3_zonlCoolkwh</v>
      </c>
      <c r="C131" s="24" t="str">
        <f>Composite!B273</f>
        <v>Tier2_indor2_HZ3_zonl</v>
      </c>
      <c r="D131" s="24" t="str">
        <f>Composite!C273</f>
        <v>Coolkwh</v>
      </c>
      <c r="E131" s="44">
        <f>Composite!D273</f>
        <v>0</v>
      </c>
      <c r="F131" s="24">
        <f>Composite!E273</f>
        <v>13</v>
      </c>
      <c r="G131" s="44">
        <f>Composite!F273</f>
        <v>0</v>
      </c>
      <c r="H131" s="44">
        <f>Composite!G273</f>
        <v>0</v>
      </c>
      <c r="I131" s="24" t="str">
        <f>Composite!H273</f>
        <v>ResCACPNW</v>
      </c>
      <c r="J131" s="44">
        <f>Composite!I273</f>
        <v>-0.47131370199922618</v>
      </c>
      <c r="K131" s="44">
        <f>Composite!J273</f>
        <v>0</v>
      </c>
      <c r="L131" s="24">
        <f>Composite!K273</f>
        <v>0</v>
      </c>
      <c r="M131" s="44">
        <f>Composite!L273</f>
        <v>0</v>
      </c>
      <c r="N131" s="24">
        <f>Composite!M273</f>
        <v>0</v>
      </c>
      <c r="O131" s="44">
        <f>Composite!N273</f>
        <v>0</v>
      </c>
      <c r="P131" s="24">
        <f>Composite!O273</f>
        <v>0</v>
      </c>
      <c r="Q131" s="44">
        <f>Composite!P273</f>
        <v>0</v>
      </c>
      <c r="R131" s="44" t="str">
        <f>Composite!Q273</f>
        <v/>
      </c>
    </row>
    <row r="132" spans="1:18" ht="12.75" customHeight="1">
      <c r="A132" t="s">
        <v>53</v>
      </c>
      <c r="B132" t="str">
        <f t="shared" ref="B132" si="2">CONCATENATE(C132,D132)</f>
        <v>Tier1_garage_HZ1DHWkwh</v>
      </c>
      <c r="C132" s="24" t="str">
        <f>Composite!B148</f>
        <v>Tier1_garage_HZ1</v>
      </c>
      <c r="D132" s="24" t="str">
        <f>Composite!C148</f>
        <v>DHWkwh</v>
      </c>
      <c r="E132" s="44">
        <f>Composite!D148</f>
        <v>1016.3640964593774</v>
      </c>
      <c r="F132" s="24">
        <f>Composite!E148</f>
        <v>13</v>
      </c>
      <c r="G132" s="24">
        <f>Composite!F148</f>
        <v>724.5875237038573</v>
      </c>
      <c r="H132" s="24">
        <f>Composite!G148</f>
        <v>0</v>
      </c>
      <c r="I132" s="24" t="str">
        <f>Composite!H148</f>
        <v>ResDHW</v>
      </c>
      <c r="J132" s="24">
        <f>Composite!I148</f>
        <v>0</v>
      </c>
      <c r="K132" s="24">
        <f>Composite!J148</f>
        <v>0</v>
      </c>
      <c r="L132" s="24">
        <f>Composite!K148</f>
        <v>0</v>
      </c>
      <c r="M132" s="24">
        <f>Composite!L148</f>
        <v>0</v>
      </c>
      <c r="N132" s="24">
        <f>Composite!M148</f>
        <v>0</v>
      </c>
      <c r="O132" s="24">
        <f>Composite!N148</f>
        <v>0</v>
      </c>
      <c r="P132" s="24">
        <f>Composite!O148</f>
        <v>0</v>
      </c>
      <c r="Q132" s="24">
        <f>Composite!P148</f>
        <v>0</v>
      </c>
      <c r="R132" s="24" t="str">
        <f>Composite!Q148</f>
        <v/>
      </c>
    </row>
    <row r="133" spans="1:18" ht="25.5">
      <c r="A133" t="s">
        <v>53</v>
      </c>
      <c r="B133" t="str">
        <f t="shared" ref="B133:B187" si="3">CONCATENATE(C133,D133)</f>
        <v>Tier1_garage_HZ1Heatkwh</v>
      </c>
      <c r="C133" s="24" t="str">
        <f>Composite!B149</f>
        <v>Tier1_garage_HZ1</v>
      </c>
      <c r="D133" s="24" t="str">
        <f>Composite!C149</f>
        <v>Heatkwh</v>
      </c>
      <c r="E133" s="24">
        <f>Composite!D149</f>
        <v>0</v>
      </c>
      <c r="F133" s="24">
        <f>Composite!E149</f>
        <v>13</v>
      </c>
      <c r="G133" s="24">
        <f>Composite!F149</f>
        <v>0</v>
      </c>
      <c r="H133" s="24">
        <f>Composite!G149</f>
        <v>0</v>
      </c>
      <c r="I133" s="24" t="str">
        <f>Composite!H149</f>
        <v>ResSpHtFAFZ1</v>
      </c>
      <c r="J133" s="24">
        <f>Composite!I149</f>
        <v>0</v>
      </c>
      <c r="K133" s="24">
        <f>Composite!J149</f>
        <v>0</v>
      </c>
      <c r="L133" s="24">
        <f>Composite!K149</f>
        <v>0</v>
      </c>
      <c r="M133" s="24">
        <f>Composite!L149</f>
        <v>0</v>
      </c>
      <c r="N133" s="24">
        <f>Composite!M149</f>
        <v>0</v>
      </c>
      <c r="O133" s="24">
        <f>Composite!N149</f>
        <v>0</v>
      </c>
      <c r="P133" s="24">
        <f>Composite!O149</f>
        <v>0</v>
      </c>
      <c r="Q133" s="24">
        <f>Composite!P149</f>
        <v>0</v>
      </c>
      <c r="R133" s="24" t="str">
        <f>Composite!Q149</f>
        <v/>
      </c>
    </row>
    <row r="134" spans="1:18" ht="25.5">
      <c r="A134" t="s">
        <v>53</v>
      </c>
      <c r="B134" t="str">
        <f t="shared" si="3"/>
        <v>Tier1_garage_HZ1Coolkwh</v>
      </c>
      <c r="C134" s="24" t="str">
        <f>Composite!B150</f>
        <v>Tier1_garage_HZ1</v>
      </c>
      <c r="D134" s="24" t="str">
        <f>Composite!C150</f>
        <v>Coolkwh</v>
      </c>
      <c r="E134" s="24">
        <f>Composite!D150</f>
        <v>0</v>
      </c>
      <c r="F134" s="24">
        <f>Composite!E150</f>
        <v>13</v>
      </c>
      <c r="G134" s="24">
        <f>Composite!F150</f>
        <v>0</v>
      </c>
      <c r="H134" s="24">
        <f>Composite!G150</f>
        <v>0</v>
      </c>
      <c r="I134" s="24" t="str">
        <f>Composite!H150</f>
        <v>ResCACPNW</v>
      </c>
      <c r="J134" s="24">
        <f>Composite!I150</f>
        <v>0</v>
      </c>
      <c r="K134" s="24">
        <f>Composite!J150</f>
        <v>0</v>
      </c>
      <c r="L134" s="24">
        <f>Composite!K150</f>
        <v>0</v>
      </c>
      <c r="M134" s="24">
        <f>Composite!L150</f>
        <v>0</v>
      </c>
      <c r="N134" s="24">
        <f>Composite!M150</f>
        <v>0</v>
      </c>
      <c r="O134" s="24">
        <f>Composite!N150</f>
        <v>0</v>
      </c>
      <c r="P134" s="24">
        <f>Composite!O150</f>
        <v>0</v>
      </c>
      <c r="Q134" s="24">
        <f>Composite!P150</f>
        <v>0</v>
      </c>
      <c r="R134" s="24" t="str">
        <f>Composite!Q150</f>
        <v/>
      </c>
    </row>
    <row r="135" spans="1:18">
      <c r="A135" t="s">
        <v>53</v>
      </c>
      <c r="B135" t="str">
        <f t="shared" si="3"/>
        <v>Tier1_garage_HZ2DHWkwh</v>
      </c>
      <c r="C135" s="24" t="str">
        <f>Composite!B151</f>
        <v>Tier1_garage_HZ2</v>
      </c>
      <c r="D135" s="24" t="str">
        <f>Composite!C151</f>
        <v>DHWkwh</v>
      </c>
      <c r="E135" s="44">
        <f>Composite!D151</f>
        <v>846.8559718231312</v>
      </c>
      <c r="F135" s="24">
        <f>Composite!E151</f>
        <v>13</v>
      </c>
      <c r="G135" s="24">
        <f>Composite!F151</f>
        <v>724.5875237038573</v>
      </c>
      <c r="H135" s="24">
        <f>Composite!G151</f>
        <v>0</v>
      </c>
      <c r="I135" s="24" t="str">
        <f>Composite!H151</f>
        <v>ResDHW</v>
      </c>
      <c r="J135" s="24">
        <f>Composite!I151</f>
        <v>0</v>
      </c>
      <c r="K135" s="24">
        <f>Composite!J151</f>
        <v>0</v>
      </c>
      <c r="L135" s="24">
        <f>Composite!K151</f>
        <v>0</v>
      </c>
      <c r="M135" s="24">
        <f>Composite!L151</f>
        <v>0</v>
      </c>
      <c r="N135" s="24">
        <f>Composite!M151</f>
        <v>0</v>
      </c>
      <c r="O135" s="24">
        <f>Composite!N151</f>
        <v>0</v>
      </c>
      <c r="P135" s="24">
        <f>Composite!O151</f>
        <v>0</v>
      </c>
      <c r="Q135" s="24">
        <f>Composite!P151</f>
        <v>0</v>
      </c>
      <c r="R135" s="24" t="str">
        <f>Composite!Q151</f>
        <v/>
      </c>
    </row>
    <row r="136" spans="1:18" ht="25.5">
      <c r="A136" t="s">
        <v>53</v>
      </c>
      <c r="B136" t="str">
        <f t="shared" si="3"/>
        <v>Tier1_garage_HZ2Heatkwh</v>
      </c>
      <c r="C136" s="24" t="str">
        <f>Composite!B152</f>
        <v>Tier1_garage_HZ2</v>
      </c>
      <c r="D136" s="24" t="str">
        <f>Composite!C152</f>
        <v>Heatkwh</v>
      </c>
      <c r="E136" s="44">
        <f>Composite!D152</f>
        <v>0</v>
      </c>
      <c r="F136" s="24">
        <f>Composite!E152</f>
        <v>13</v>
      </c>
      <c r="G136" s="24">
        <f>Composite!F152</f>
        <v>0</v>
      </c>
      <c r="H136" s="24">
        <f>Composite!G152</f>
        <v>0</v>
      </c>
      <c r="I136" s="24" t="str">
        <f>Composite!H152</f>
        <v>ResSpHtFAFZ2</v>
      </c>
      <c r="J136" s="24">
        <f>Composite!I152</f>
        <v>0</v>
      </c>
      <c r="K136" s="24">
        <f>Composite!J152</f>
        <v>0</v>
      </c>
      <c r="L136" s="24">
        <f>Composite!K152</f>
        <v>0</v>
      </c>
      <c r="M136" s="24">
        <f>Composite!L152</f>
        <v>0</v>
      </c>
      <c r="N136" s="24">
        <f>Composite!M152</f>
        <v>0</v>
      </c>
      <c r="O136" s="24">
        <f>Composite!N152</f>
        <v>0</v>
      </c>
      <c r="P136" s="24">
        <f>Composite!O152</f>
        <v>0</v>
      </c>
      <c r="Q136" s="24">
        <f>Composite!P152</f>
        <v>0</v>
      </c>
      <c r="R136" s="24" t="str">
        <f>Composite!Q152</f>
        <v/>
      </c>
    </row>
    <row r="137" spans="1:18" ht="25.5">
      <c r="A137" t="s">
        <v>53</v>
      </c>
      <c r="B137" t="str">
        <f t="shared" si="3"/>
        <v>Tier1_garage_HZ2Coolkwh</v>
      </c>
      <c r="C137" s="24" t="str">
        <f>Composite!B153</f>
        <v>Tier1_garage_HZ2</v>
      </c>
      <c r="D137" s="24" t="str">
        <f>Composite!C153</f>
        <v>Coolkwh</v>
      </c>
      <c r="E137" s="44">
        <f>Composite!D153</f>
        <v>0</v>
      </c>
      <c r="F137" s="24">
        <f>Composite!E153</f>
        <v>13</v>
      </c>
      <c r="G137" s="24">
        <f>Composite!F153</f>
        <v>0</v>
      </c>
      <c r="H137" s="24">
        <f>Composite!G153</f>
        <v>0</v>
      </c>
      <c r="I137" s="24" t="str">
        <f>Composite!H153</f>
        <v>ResCACPNW</v>
      </c>
      <c r="J137" s="24">
        <f>Composite!I153</f>
        <v>0</v>
      </c>
      <c r="K137" s="24">
        <f>Composite!J153</f>
        <v>0</v>
      </c>
      <c r="L137" s="24">
        <f>Composite!K153</f>
        <v>0</v>
      </c>
      <c r="M137" s="24">
        <f>Composite!L153</f>
        <v>0</v>
      </c>
      <c r="N137" s="24">
        <f>Composite!M153</f>
        <v>0</v>
      </c>
      <c r="O137" s="24">
        <f>Composite!N153</f>
        <v>0</v>
      </c>
      <c r="P137" s="24">
        <f>Composite!O153</f>
        <v>0</v>
      </c>
      <c r="Q137" s="24">
        <f>Composite!P153</f>
        <v>0</v>
      </c>
      <c r="R137" s="24" t="str">
        <f>Composite!Q153</f>
        <v/>
      </c>
    </row>
    <row r="138" spans="1:18">
      <c r="A138" t="s">
        <v>53</v>
      </c>
      <c r="B138" t="str">
        <f t="shared" si="3"/>
        <v>Tier1_garage_HZ3DHWkwh</v>
      </c>
      <c r="C138" s="24" t="str">
        <f>Composite!B154</f>
        <v>Tier1_garage_HZ3</v>
      </c>
      <c r="D138" s="24" t="str">
        <f>Composite!C154</f>
        <v>DHWkwh</v>
      </c>
      <c r="E138" s="44">
        <f>Composite!D154</f>
        <v>708.18500587491906</v>
      </c>
      <c r="F138" s="24">
        <f>Composite!E154</f>
        <v>13</v>
      </c>
      <c r="G138" s="24">
        <f>Composite!F154</f>
        <v>724.5875237038573</v>
      </c>
      <c r="H138" s="24">
        <f>Composite!G154</f>
        <v>0</v>
      </c>
      <c r="I138" s="24" t="str">
        <f>Composite!H154</f>
        <v>ResDHW</v>
      </c>
      <c r="J138" s="24">
        <f>Composite!I154</f>
        <v>0</v>
      </c>
      <c r="K138" s="24">
        <f>Composite!J154</f>
        <v>0</v>
      </c>
      <c r="L138" s="24">
        <f>Composite!K154</f>
        <v>0</v>
      </c>
      <c r="M138" s="24">
        <f>Composite!L154</f>
        <v>0</v>
      </c>
      <c r="N138" s="24">
        <f>Composite!M154</f>
        <v>0</v>
      </c>
      <c r="O138" s="24">
        <f>Composite!N154</f>
        <v>0</v>
      </c>
      <c r="P138" s="24">
        <f>Composite!O154</f>
        <v>0</v>
      </c>
      <c r="Q138" s="24">
        <f>Composite!P154</f>
        <v>0</v>
      </c>
      <c r="R138" s="24" t="str">
        <f>Composite!Q154</f>
        <v/>
      </c>
    </row>
    <row r="139" spans="1:18" ht="25.5">
      <c r="A139" t="s">
        <v>53</v>
      </c>
      <c r="B139" t="str">
        <f t="shared" si="3"/>
        <v>Tier1_garage_HZ3Heatkwh</v>
      </c>
      <c r="C139" s="24" t="str">
        <f>Composite!B155</f>
        <v>Tier1_garage_HZ3</v>
      </c>
      <c r="D139" s="24" t="str">
        <f>Composite!C155</f>
        <v>Heatkwh</v>
      </c>
      <c r="E139" s="44">
        <f>Composite!D155</f>
        <v>0</v>
      </c>
      <c r="F139" s="24">
        <f>Composite!E155</f>
        <v>13</v>
      </c>
      <c r="G139" s="24">
        <f>Composite!F155</f>
        <v>0</v>
      </c>
      <c r="H139" s="24">
        <f>Composite!G155</f>
        <v>0</v>
      </c>
      <c r="I139" s="24" t="str">
        <f>Composite!H155</f>
        <v>ResSpHtFAFZ3</v>
      </c>
      <c r="J139" s="24">
        <f>Composite!I155</f>
        <v>0</v>
      </c>
      <c r="K139" s="24">
        <f>Composite!J155</f>
        <v>0</v>
      </c>
      <c r="L139" s="24">
        <f>Composite!K155</f>
        <v>0</v>
      </c>
      <c r="M139" s="24">
        <f>Composite!L155</f>
        <v>0</v>
      </c>
      <c r="N139" s="24">
        <f>Composite!M155</f>
        <v>0</v>
      </c>
      <c r="O139" s="24">
        <f>Composite!N155</f>
        <v>0</v>
      </c>
      <c r="P139" s="24">
        <f>Composite!O155</f>
        <v>0</v>
      </c>
      <c r="Q139" s="24">
        <f>Composite!P155</f>
        <v>0</v>
      </c>
      <c r="R139" s="24" t="str">
        <f>Composite!Q155</f>
        <v/>
      </c>
    </row>
    <row r="140" spans="1:18" ht="25.5">
      <c r="A140" t="s">
        <v>53</v>
      </c>
      <c r="B140" t="str">
        <f t="shared" si="3"/>
        <v>Tier1_garage_HZ3Coolkwh</v>
      </c>
      <c r="C140" s="24" t="str">
        <f>Composite!B156</f>
        <v>Tier1_garage_HZ3</v>
      </c>
      <c r="D140" s="24" t="str">
        <f>Composite!C156</f>
        <v>Coolkwh</v>
      </c>
      <c r="E140" s="44">
        <f>Composite!D156</f>
        <v>0</v>
      </c>
      <c r="F140" s="24">
        <f>Composite!E156</f>
        <v>13</v>
      </c>
      <c r="G140" s="24">
        <f>Composite!F156</f>
        <v>0</v>
      </c>
      <c r="H140" s="24">
        <f>Composite!G156</f>
        <v>0</v>
      </c>
      <c r="I140" s="24" t="str">
        <f>Composite!H156</f>
        <v>ResCACPNW</v>
      </c>
      <c r="J140" s="24">
        <f>Composite!I156</f>
        <v>0</v>
      </c>
      <c r="K140" s="24">
        <f>Composite!J156</f>
        <v>0</v>
      </c>
      <c r="L140" s="24">
        <f>Composite!K156</f>
        <v>0</v>
      </c>
      <c r="M140" s="24">
        <f>Composite!L156</f>
        <v>0</v>
      </c>
      <c r="N140" s="24">
        <f>Composite!M156</f>
        <v>0</v>
      </c>
      <c r="O140" s="24">
        <f>Composite!N156</f>
        <v>0</v>
      </c>
      <c r="P140" s="24">
        <f>Composite!O156</f>
        <v>0</v>
      </c>
      <c r="Q140" s="24">
        <f>Composite!P156</f>
        <v>0</v>
      </c>
      <c r="R140" s="24" t="str">
        <f>Composite!Q156</f>
        <v/>
      </c>
    </row>
    <row r="141" spans="1:18">
      <c r="A141" t="s">
        <v>53</v>
      </c>
      <c r="B141" t="str">
        <f t="shared" si="3"/>
        <v>Tier1_indor2_HZ1_gfncDHWkwh</v>
      </c>
      <c r="C141" s="24" t="str">
        <f>Composite!B166</f>
        <v>Tier1_indor2_HZ1_gfnc</v>
      </c>
      <c r="D141" s="24" t="str">
        <f>Composite!C166</f>
        <v>DHWkwh</v>
      </c>
      <c r="E141" s="44">
        <f>Composite!D166</f>
        <v>1243.8604062944223</v>
      </c>
      <c r="F141" s="24">
        <f>Composite!E166</f>
        <v>13</v>
      </c>
      <c r="G141" s="24">
        <f>Composite!F166</f>
        <v>724.5875237038573</v>
      </c>
      <c r="H141" s="24">
        <f>Composite!G166</f>
        <v>0</v>
      </c>
      <c r="I141" s="24" t="str">
        <f>Composite!H166</f>
        <v>ResDHW</v>
      </c>
      <c r="J141" s="24">
        <f>Composite!I166</f>
        <v>-5.0636600354656078</v>
      </c>
      <c r="K141" s="24">
        <f>Composite!J166</f>
        <v>0</v>
      </c>
      <c r="L141" s="24">
        <f>Composite!K166</f>
        <v>0</v>
      </c>
      <c r="M141" s="24">
        <f>Composite!L166</f>
        <v>0</v>
      </c>
      <c r="N141" s="24">
        <f>Composite!M166</f>
        <v>0</v>
      </c>
      <c r="O141" s="24">
        <f>Composite!N166</f>
        <v>0</v>
      </c>
      <c r="P141" s="24">
        <f>Composite!O166</f>
        <v>0</v>
      </c>
      <c r="Q141" s="24">
        <f>Composite!P166</f>
        <v>0</v>
      </c>
      <c r="R141" s="24" t="str">
        <f>Composite!Q166</f>
        <v/>
      </c>
    </row>
    <row r="142" spans="1:18" ht="25.5">
      <c r="A142" t="s">
        <v>53</v>
      </c>
      <c r="B142" t="str">
        <f t="shared" si="3"/>
        <v>Tier1_indor2_HZ1_gfncHeatkwh</v>
      </c>
      <c r="C142" s="24" t="str">
        <f>Composite!B167</f>
        <v>Tier1_indor2_HZ1_gfnc</v>
      </c>
      <c r="D142" s="24" t="str">
        <f>Composite!C167</f>
        <v>Heatkwh</v>
      </c>
      <c r="E142" s="44">
        <f>Composite!D167</f>
        <v>-13.070000166581625</v>
      </c>
      <c r="F142" s="24">
        <f>Composite!E167</f>
        <v>13</v>
      </c>
      <c r="G142" s="24">
        <f>Composite!F167</f>
        <v>0</v>
      </c>
      <c r="H142" s="24">
        <f>Composite!G167</f>
        <v>0</v>
      </c>
      <c r="I142" s="24" t="str">
        <f>Composite!H167</f>
        <v>ResSpHtFAFZ1</v>
      </c>
      <c r="J142" s="24">
        <f>Composite!I167</f>
        <v>-5.0636600354656078</v>
      </c>
      <c r="K142" s="24">
        <f>Composite!J167</f>
        <v>0</v>
      </c>
      <c r="L142" s="24">
        <f>Composite!K167</f>
        <v>0</v>
      </c>
      <c r="M142" s="24">
        <f>Composite!L167</f>
        <v>0</v>
      </c>
      <c r="N142" s="24">
        <f>Composite!M167</f>
        <v>0</v>
      </c>
      <c r="O142" s="24">
        <f>Composite!N167</f>
        <v>0</v>
      </c>
      <c r="P142" s="24">
        <f>Composite!O167</f>
        <v>0</v>
      </c>
      <c r="Q142" s="24">
        <f>Composite!P167</f>
        <v>-19.724819855006501</v>
      </c>
      <c r="R142" s="24" t="str">
        <f>Composite!Q167</f>
        <v>ResSpHtFAFZ1</v>
      </c>
    </row>
    <row r="143" spans="1:18" ht="25.5">
      <c r="A143" t="s">
        <v>53</v>
      </c>
      <c r="B143" t="str">
        <f t="shared" si="3"/>
        <v>Tier1_indor2_HZ1_gfncCoolkwh</v>
      </c>
      <c r="C143" s="24" t="str">
        <f>Composite!B168</f>
        <v>Tier1_indor2_HZ1_gfnc</v>
      </c>
      <c r="D143" s="24" t="str">
        <f>Composite!C168</f>
        <v>Coolkwh</v>
      </c>
      <c r="E143" s="44">
        <f>Composite!D168</f>
        <v>0</v>
      </c>
      <c r="F143" s="24">
        <f>Composite!E168</f>
        <v>13</v>
      </c>
      <c r="G143" s="24">
        <f>Composite!F168</f>
        <v>0</v>
      </c>
      <c r="H143" s="24">
        <f>Composite!G168</f>
        <v>0</v>
      </c>
      <c r="I143" s="24" t="str">
        <f>Composite!H168</f>
        <v>ResCACPNW</v>
      </c>
      <c r="J143" s="24">
        <f>Composite!I168</f>
        <v>-5.0636600354656078</v>
      </c>
      <c r="K143" s="24">
        <f>Composite!J168</f>
        <v>0</v>
      </c>
      <c r="L143" s="24">
        <f>Composite!K168</f>
        <v>0</v>
      </c>
      <c r="M143" s="24">
        <f>Composite!L168</f>
        <v>0</v>
      </c>
      <c r="N143" s="24">
        <f>Composite!M168</f>
        <v>0</v>
      </c>
      <c r="O143" s="24">
        <f>Composite!N168</f>
        <v>0</v>
      </c>
      <c r="P143" s="24">
        <f>Composite!O168</f>
        <v>0</v>
      </c>
      <c r="Q143" s="24">
        <f>Composite!P168</f>
        <v>0</v>
      </c>
      <c r="R143" s="24" t="str">
        <f>Composite!Q168</f>
        <v/>
      </c>
    </row>
    <row r="144" spans="1:18">
      <c r="A144" t="s">
        <v>53</v>
      </c>
      <c r="B144" t="str">
        <f t="shared" si="3"/>
        <v>Tier1_indor2_HZ1_gfacDHWkwh</v>
      </c>
      <c r="C144" s="24" t="str">
        <f>Composite!B169</f>
        <v>Tier1_indor2_HZ1_gfac</v>
      </c>
      <c r="D144" s="24" t="str">
        <f>Composite!C169</f>
        <v>DHWkwh</v>
      </c>
      <c r="E144" s="44">
        <f>Composite!D169</f>
        <v>1231.405372006785</v>
      </c>
      <c r="F144" s="24">
        <f>Composite!E169</f>
        <v>13</v>
      </c>
      <c r="G144" s="24">
        <f>Composite!F169</f>
        <v>724.5875237038573</v>
      </c>
      <c r="H144" s="24">
        <f>Composite!G169</f>
        <v>0</v>
      </c>
      <c r="I144" s="24" t="str">
        <f>Composite!H169</f>
        <v>ResDHW</v>
      </c>
      <c r="J144" s="24">
        <f>Composite!I169</f>
        <v>-5.1132419896161725</v>
      </c>
      <c r="K144" s="24">
        <f>Composite!J169</f>
        <v>0</v>
      </c>
      <c r="L144" s="24">
        <f>Composite!K169</f>
        <v>0</v>
      </c>
      <c r="M144" s="24">
        <f>Composite!L169</f>
        <v>0</v>
      </c>
      <c r="N144" s="24">
        <f>Composite!M169</f>
        <v>0</v>
      </c>
      <c r="O144" s="24">
        <f>Composite!N169</f>
        <v>0</v>
      </c>
      <c r="P144" s="24">
        <f>Composite!O169</f>
        <v>0</v>
      </c>
      <c r="Q144" s="24">
        <f>Composite!P169</f>
        <v>0</v>
      </c>
      <c r="R144" s="24" t="str">
        <f>Composite!Q169</f>
        <v/>
      </c>
    </row>
    <row r="145" spans="1:18" ht="25.5">
      <c r="A145" t="s">
        <v>53</v>
      </c>
      <c r="B145" t="str">
        <f t="shared" si="3"/>
        <v>Tier1_indor2_HZ1_gfacHeatkwh</v>
      </c>
      <c r="C145" s="24" t="str">
        <f>Composite!B170</f>
        <v>Tier1_indor2_HZ1_gfac</v>
      </c>
      <c r="D145" s="24" t="str">
        <f>Composite!C170</f>
        <v>Heatkwh</v>
      </c>
      <c r="E145" s="44">
        <f>Composite!D170</f>
        <v>-14.549592352923362</v>
      </c>
      <c r="F145" s="24">
        <f>Composite!E170</f>
        <v>13</v>
      </c>
      <c r="G145" s="24">
        <f>Composite!F170</f>
        <v>0</v>
      </c>
      <c r="H145" s="24">
        <f>Composite!G170</f>
        <v>0</v>
      </c>
      <c r="I145" s="24" t="str">
        <f>Composite!H170</f>
        <v>ResSpHtFAFZ1</v>
      </c>
      <c r="J145" s="24">
        <f>Composite!I170</f>
        <v>-5.1132419896161725</v>
      </c>
      <c r="K145" s="24">
        <f>Composite!J170</f>
        <v>0</v>
      </c>
      <c r="L145" s="24">
        <f>Composite!K170</f>
        <v>0</v>
      </c>
      <c r="M145" s="24">
        <f>Composite!L170</f>
        <v>0</v>
      </c>
      <c r="N145" s="24">
        <f>Composite!M170</f>
        <v>0</v>
      </c>
      <c r="O145" s="24">
        <f>Composite!N170</f>
        <v>0</v>
      </c>
      <c r="P145" s="24">
        <f>Composite!O170</f>
        <v>0</v>
      </c>
      <c r="Q145" s="24">
        <f>Composite!P170</f>
        <v>-19.866369581760637</v>
      </c>
      <c r="R145" s="24" t="str">
        <f>Composite!Q170</f>
        <v>ResSpHtFAFZ1</v>
      </c>
    </row>
    <row r="146" spans="1:18" ht="25.5">
      <c r="A146" t="s">
        <v>53</v>
      </c>
      <c r="B146" t="str">
        <f t="shared" si="3"/>
        <v>Tier1_indor2_HZ1_gfacCoolkwh</v>
      </c>
      <c r="C146" s="24" t="str">
        <f>Composite!B171</f>
        <v>Tier1_indor2_HZ1_gfac</v>
      </c>
      <c r="D146" s="24" t="str">
        <f>Composite!C171</f>
        <v>Coolkwh</v>
      </c>
      <c r="E146" s="44">
        <f>Composite!D171</f>
        <v>29.380580089516688</v>
      </c>
      <c r="F146" s="24">
        <f>Composite!E171</f>
        <v>13</v>
      </c>
      <c r="G146" s="24">
        <f>Composite!F171</f>
        <v>0</v>
      </c>
      <c r="H146" s="24">
        <f>Composite!G171</f>
        <v>0</v>
      </c>
      <c r="I146" s="24" t="str">
        <f>Composite!H171</f>
        <v>ResCACPNW</v>
      </c>
      <c r="J146" s="24">
        <f>Composite!I171</f>
        <v>-5.1132419896161725</v>
      </c>
      <c r="K146" s="24">
        <f>Composite!J171</f>
        <v>0</v>
      </c>
      <c r="L146" s="24">
        <f>Composite!K171</f>
        <v>0</v>
      </c>
      <c r="M146" s="24">
        <f>Composite!L171</f>
        <v>0</v>
      </c>
      <c r="N146" s="24">
        <f>Composite!M171</f>
        <v>0</v>
      </c>
      <c r="O146" s="24">
        <f>Composite!N171</f>
        <v>0</v>
      </c>
      <c r="P146" s="24">
        <f>Composite!O171</f>
        <v>0</v>
      </c>
      <c r="Q146" s="24">
        <f>Composite!P171</f>
        <v>0</v>
      </c>
      <c r="R146" s="24" t="str">
        <f>Composite!Q171</f>
        <v/>
      </c>
    </row>
    <row r="147" spans="1:18">
      <c r="A147" t="s">
        <v>53</v>
      </c>
      <c r="B147" t="str">
        <f t="shared" si="3"/>
        <v>Tier1_indor2_HZ1_efafDHWkwh</v>
      </c>
      <c r="C147" s="24" t="str">
        <f>Composite!B172</f>
        <v>Tier1_indor2_HZ1_efaf</v>
      </c>
      <c r="D147" s="24" t="str">
        <f>Composite!C172</f>
        <v>DHWkwh</v>
      </c>
      <c r="E147" s="44">
        <f>Composite!D172</f>
        <v>1243.8604062944223</v>
      </c>
      <c r="F147" s="24">
        <f>Composite!E172</f>
        <v>13</v>
      </c>
      <c r="G147" s="24">
        <f>Composite!F172</f>
        <v>724.5875237038573</v>
      </c>
      <c r="H147" s="24">
        <f>Composite!G172</f>
        <v>0</v>
      </c>
      <c r="I147" s="24" t="str">
        <f>Composite!H172</f>
        <v>ResDHW</v>
      </c>
      <c r="J147" s="24">
        <f>Composite!I172</f>
        <v>-3.5688983656613202</v>
      </c>
      <c r="K147" s="24">
        <f>Composite!J172</f>
        <v>0</v>
      </c>
      <c r="L147" s="24">
        <f>Composite!K172</f>
        <v>0</v>
      </c>
      <c r="M147" s="24">
        <f>Composite!L172</f>
        <v>0</v>
      </c>
      <c r="N147" s="24">
        <f>Composite!M172</f>
        <v>0</v>
      </c>
      <c r="O147" s="24">
        <f>Composite!N172</f>
        <v>0</v>
      </c>
      <c r="P147" s="24">
        <f>Composite!O172</f>
        <v>0</v>
      </c>
      <c r="Q147" s="24">
        <f>Composite!P172</f>
        <v>0</v>
      </c>
      <c r="R147" s="24" t="str">
        <f>Composite!Q172</f>
        <v/>
      </c>
    </row>
    <row r="148" spans="1:18" ht="25.5">
      <c r="A148" t="s">
        <v>53</v>
      </c>
      <c r="B148" t="str">
        <f t="shared" si="3"/>
        <v>Tier1_indor2_HZ1_efafHeatkwh</v>
      </c>
      <c r="C148" s="24" t="str">
        <f>Composite!B173</f>
        <v>Tier1_indor2_HZ1_efaf</v>
      </c>
      <c r="D148" s="24" t="str">
        <f>Composite!C173</f>
        <v>Heatkwh</v>
      </c>
      <c r="E148" s="44">
        <f>Composite!D173</f>
        <v>-351.50921222766476</v>
      </c>
      <c r="F148" s="24">
        <f>Composite!E173</f>
        <v>13</v>
      </c>
      <c r="G148" s="24">
        <f>Composite!F173</f>
        <v>0</v>
      </c>
      <c r="H148" s="24">
        <f>Composite!G173</f>
        <v>0</v>
      </c>
      <c r="I148" s="24" t="str">
        <f>Composite!H173</f>
        <v>ResSpHtFAFZ1</v>
      </c>
      <c r="J148" s="24">
        <f>Composite!I173</f>
        <v>-3.5688983656613202</v>
      </c>
      <c r="K148" s="24">
        <f>Composite!J173</f>
        <v>0</v>
      </c>
      <c r="L148" s="24">
        <f>Composite!K173</f>
        <v>0</v>
      </c>
      <c r="M148" s="24">
        <f>Composite!L173</f>
        <v>0</v>
      </c>
      <c r="N148" s="24">
        <f>Composite!M173</f>
        <v>0</v>
      </c>
      <c r="O148" s="24">
        <f>Composite!N173</f>
        <v>0</v>
      </c>
      <c r="P148" s="24">
        <f>Composite!O173</f>
        <v>0</v>
      </c>
      <c r="Q148" s="24">
        <f>Composite!P173</f>
        <v>-0.83690513245143927</v>
      </c>
      <c r="R148" s="24" t="str">
        <f>Composite!Q173</f>
        <v>ResSpHtFAFZ1</v>
      </c>
    </row>
    <row r="149" spans="1:18" ht="25.5">
      <c r="A149" t="s">
        <v>53</v>
      </c>
      <c r="B149" t="str">
        <f t="shared" si="3"/>
        <v>Tier1_indor2_HZ1_efafCoolkwh</v>
      </c>
      <c r="C149" s="24" t="str">
        <f>Composite!B174</f>
        <v>Tier1_indor2_HZ1_efaf</v>
      </c>
      <c r="D149" s="24" t="str">
        <f>Composite!C174</f>
        <v>Coolkwh</v>
      </c>
      <c r="E149" s="44">
        <f>Composite!D174</f>
        <v>0</v>
      </c>
      <c r="F149" s="24">
        <f>Composite!E174</f>
        <v>13</v>
      </c>
      <c r="G149" s="24">
        <f>Composite!F174</f>
        <v>0</v>
      </c>
      <c r="H149" s="24">
        <f>Composite!G174</f>
        <v>0</v>
      </c>
      <c r="I149" s="24" t="str">
        <f>Composite!H174</f>
        <v>ResCACPNW</v>
      </c>
      <c r="J149" s="24">
        <f>Composite!I174</f>
        <v>-3.5688983656613202</v>
      </c>
      <c r="K149" s="24">
        <f>Composite!J174</f>
        <v>0</v>
      </c>
      <c r="L149" s="24">
        <f>Composite!K174</f>
        <v>0</v>
      </c>
      <c r="M149" s="24">
        <f>Composite!L174</f>
        <v>0</v>
      </c>
      <c r="N149" s="24">
        <f>Composite!M174</f>
        <v>0</v>
      </c>
      <c r="O149" s="24">
        <f>Composite!N174</f>
        <v>0</v>
      </c>
      <c r="P149" s="24">
        <f>Composite!O174</f>
        <v>0</v>
      </c>
      <c r="Q149" s="24">
        <f>Composite!P174</f>
        <v>0</v>
      </c>
      <c r="R149" s="24" t="str">
        <f>Composite!Q174</f>
        <v/>
      </c>
    </row>
    <row r="150" spans="1:18">
      <c r="A150" t="s">
        <v>53</v>
      </c>
      <c r="B150" t="str">
        <f t="shared" si="3"/>
        <v>Tier1_indor2_HZ1_hp85DHWkwh</v>
      </c>
      <c r="C150" s="24" t="str">
        <f>Composite!B175</f>
        <v>Tier1_indor2_HZ1_hp85</v>
      </c>
      <c r="D150" s="24" t="str">
        <f>Composite!C175</f>
        <v>DHWkwh</v>
      </c>
      <c r="E150" s="44">
        <f>Composite!D175</f>
        <v>1231.4161895834602</v>
      </c>
      <c r="F150" s="24">
        <f>Composite!E175</f>
        <v>13</v>
      </c>
      <c r="G150" s="24">
        <f>Composite!F175</f>
        <v>724.5875237038573</v>
      </c>
      <c r="H150" s="24">
        <f>Composite!G175</f>
        <v>0</v>
      </c>
      <c r="I150" s="24" t="str">
        <f>Composite!H175</f>
        <v>ResDHW</v>
      </c>
      <c r="J150" s="24">
        <f>Composite!I175</f>
        <v>-1.7496133081543634</v>
      </c>
      <c r="K150" s="24">
        <f>Composite!J175</f>
        <v>0</v>
      </c>
      <c r="L150" s="24">
        <f>Composite!K175</f>
        <v>0</v>
      </c>
      <c r="M150" s="24">
        <f>Composite!L175</f>
        <v>0</v>
      </c>
      <c r="N150" s="24">
        <f>Composite!M175</f>
        <v>0</v>
      </c>
      <c r="O150" s="24">
        <f>Composite!N175</f>
        <v>0</v>
      </c>
      <c r="P150" s="24">
        <f>Composite!O175</f>
        <v>0</v>
      </c>
      <c r="Q150" s="24">
        <f>Composite!P175</f>
        <v>0</v>
      </c>
      <c r="R150" s="24" t="str">
        <f>Composite!Q175</f>
        <v/>
      </c>
    </row>
    <row r="151" spans="1:18" ht="25.5">
      <c r="A151" t="s">
        <v>53</v>
      </c>
      <c r="B151" t="str">
        <f t="shared" si="3"/>
        <v>Tier1_indor2_HZ1_hp85Heatkwh</v>
      </c>
      <c r="C151" s="24" t="str">
        <f>Composite!B176</f>
        <v>Tier1_indor2_HZ1_hp85</v>
      </c>
      <c r="D151" s="24" t="str">
        <f>Composite!C176</f>
        <v>Heatkwh</v>
      </c>
      <c r="E151" s="44">
        <f>Composite!D176</f>
        <v>-172.32353870587679</v>
      </c>
      <c r="F151" s="24">
        <f>Composite!E176</f>
        <v>13</v>
      </c>
      <c r="G151" s="24">
        <f>Composite!F176</f>
        <v>0</v>
      </c>
      <c r="H151" s="24">
        <f>Composite!G176</f>
        <v>0</v>
      </c>
      <c r="I151" s="24" t="str">
        <f>Composite!H176</f>
        <v>ResSpHtHPZ1</v>
      </c>
      <c r="J151" s="24">
        <f>Composite!I176</f>
        <v>-1.7496133081543634</v>
      </c>
      <c r="K151" s="24">
        <f>Composite!J176</f>
        <v>0</v>
      </c>
      <c r="L151" s="24">
        <f>Composite!K176</f>
        <v>0</v>
      </c>
      <c r="M151" s="24">
        <f>Composite!L176</f>
        <v>0</v>
      </c>
      <c r="N151" s="24">
        <f>Composite!M176</f>
        <v>0</v>
      </c>
      <c r="O151" s="24">
        <f>Composite!N176</f>
        <v>0</v>
      </c>
      <c r="P151" s="24">
        <f>Composite!O176</f>
        <v>0</v>
      </c>
      <c r="Q151" s="24">
        <f>Composite!P176</f>
        <v>-0.41028356859033155</v>
      </c>
      <c r="R151" s="24" t="str">
        <f>Composite!Q176</f>
        <v>ResSpHtHPZ1</v>
      </c>
    </row>
    <row r="152" spans="1:18" ht="25.5">
      <c r="A152" t="s">
        <v>53</v>
      </c>
      <c r="B152" t="str">
        <f t="shared" si="3"/>
        <v>Tier1_indor2_HZ1_hp85Coolkwh</v>
      </c>
      <c r="C152" s="24" t="str">
        <f>Composite!B177</f>
        <v>Tier1_indor2_HZ1_hp85</v>
      </c>
      <c r="D152" s="24" t="str">
        <f>Composite!C177</f>
        <v>Coolkwh</v>
      </c>
      <c r="E152" s="44">
        <f>Composite!D177</f>
        <v>29.552677516223916</v>
      </c>
      <c r="F152" s="24">
        <f>Composite!E177</f>
        <v>13</v>
      </c>
      <c r="G152" s="24">
        <f>Composite!F177</f>
        <v>0</v>
      </c>
      <c r="H152" s="24">
        <f>Composite!G177</f>
        <v>0</v>
      </c>
      <c r="I152" s="24" t="str">
        <f>Composite!H177</f>
        <v>ResCACPNW</v>
      </c>
      <c r="J152" s="24">
        <f>Composite!I177</f>
        <v>-1.7496133081543634</v>
      </c>
      <c r="K152" s="24">
        <f>Composite!J177</f>
        <v>0</v>
      </c>
      <c r="L152" s="24">
        <f>Composite!K177</f>
        <v>0</v>
      </c>
      <c r="M152" s="24">
        <f>Composite!L177</f>
        <v>0</v>
      </c>
      <c r="N152" s="24">
        <f>Composite!M177</f>
        <v>0</v>
      </c>
      <c r="O152" s="24">
        <f>Composite!N177</f>
        <v>0</v>
      </c>
      <c r="P152" s="24">
        <f>Composite!O177</f>
        <v>0</v>
      </c>
      <c r="Q152" s="24">
        <f>Composite!P177</f>
        <v>0</v>
      </c>
      <c r="R152" s="24" t="str">
        <f>Composite!Q177</f>
        <v/>
      </c>
    </row>
    <row r="153" spans="1:18">
      <c r="A153" t="s">
        <v>53</v>
      </c>
      <c r="B153" t="str">
        <f t="shared" si="3"/>
        <v>Tier1_indor2_HZ1_zonlDHWkwh</v>
      </c>
      <c r="C153" s="24" t="str">
        <f>Composite!B178</f>
        <v>Tier1_indor2_HZ1_zonl</v>
      </c>
      <c r="D153" s="24" t="str">
        <f>Composite!C178</f>
        <v>DHWkwh</v>
      </c>
      <c r="E153" s="44">
        <f>Composite!D178</f>
        <v>1243.8863623993275</v>
      </c>
      <c r="F153" s="24">
        <f>Composite!E178</f>
        <v>13</v>
      </c>
      <c r="G153" s="24">
        <f>Composite!F178</f>
        <v>724.5875237038573</v>
      </c>
      <c r="H153" s="24">
        <f>Composite!G178</f>
        <v>0</v>
      </c>
      <c r="I153" s="24" t="str">
        <f>Composite!H178</f>
        <v>ResDHW</v>
      </c>
      <c r="J153" s="24">
        <f>Composite!I178</f>
        <v>-3.1860342580112393</v>
      </c>
      <c r="K153" s="24">
        <f>Composite!J178</f>
        <v>0</v>
      </c>
      <c r="L153" s="24">
        <f>Composite!K178</f>
        <v>0</v>
      </c>
      <c r="M153" s="24">
        <f>Composite!L178</f>
        <v>0</v>
      </c>
      <c r="N153" s="24">
        <f>Composite!M178</f>
        <v>0</v>
      </c>
      <c r="O153" s="24">
        <f>Composite!N178</f>
        <v>0</v>
      </c>
      <c r="P153" s="24">
        <f>Composite!O178</f>
        <v>0</v>
      </c>
      <c r="Q153" s="24">
        <f>Composite!P178</f>
        <v>0</v>
      </c>
      <c r="R153" s="24" t="str">
        <f>Composite!Q178</f>
        <v/>
      </c>
    </row>
    <row r="154" spans="1:18" ht="25.5">
      <c r="A154" t="s">
        <v>53</v>
      </c>
      <c r="B154" t="str">
        <f t="shared" si="3"/>
        <v>Tier1_indor2_HZ1_zonlHeatkwh</v>
      </c>
      <c r="C154" s="24" t="str">
        <f>Composite!B179</f>
        <v>Tier1_indor2_HZ1_zonl</v>
      </c>
      <c r="D154" s="24" t="str">
        <f>Composite!C179</f>
        <v>Heatkwh</v>
      </c>
      <c r="E154" s="44">
        <f>Composite!D179</f>
        <v>-313.80002382229816</v>
      </c>
      <c r="F154" s="24">
        <f>Composite!E179</f>
        <v>13</v>
      </c>
      <c r="G154" s="24">
        <f>Composite!F179</f>
        <v>0</v>
      </c>
      <c r="H154" s="24">
        <f>Composite!G179</f>
        <v>0</v>
      </c>
      <c r="I154" s="24" t="str">
        <f>Composite!H179</f>
        <v>ResSpHtBBZ1</v>
      </c>
      <c r="J154" s="24">
        <f>Composite!I179</f>
        <v>-3.1860342580112393</v>
      </c>
      <c r="K154" s="24">
        <f>Composite!J179</f>
        <v>0</v>
      </c>
      <c r="L154" s="24">
        <f>Composite!K179</f>
        <v>0</v>
      </c>
      <c r="M154" s="24">
        <f>Composite!L179</f>
        <v>0</v>
      </c>
      <c r="N154" s="24">
        <f>Composite!M179</f>
        <v>0</v>
      </c>
      <c r="O154" s="24">
        <f>Composite!N179</f>
        <v>0</v>
      </c>
      <c r="P154" s="24">
        <f>Composite!O179</f>
        <v>0</v>
      </c>
      <c r="Q154" s="24">
        <f>Composite!P179</f>
        <v>-0.74712366380364303</v>
      </c>
      <c r="R154" s="24" t="str">
        <f>Composite!Q179</f>
        <v>ResSpHtBBZ1</v>
      </c>
    </row>
    <row r="155" spans="1:18" ht="25.5">
      <c r="A155" t="s">
        <v>53</v>
      </c>
      <c r="B155" t="str">
        <f t="shared" si="3"/>
        <v>Tier1_indor2_HZ1_zonlCoolkwh</v>
      </c>
      <c r="C155" s="24" t="str">
        <f>Composite!B180</f>
        <v>Tier1_indor2_HZ1_zonl</v>
      </c>
      <c r="D155" s="24" t="str">
        <f>Composite!C180</f>
        <v>Coolkwh</v>
      </c>
      <c r="E155" s="44">
        <f>Composite!D180</f>
        <v>0</v>
      </c>
      <c r="F155" s="24">
        <f>Composite!E180</f>
        <v>13</v>
      </c>
      <c r="G155" s="24">
        <f>Composite!F180</f>
        <v>0</v>
      </c>
      <c r="H155" s="24">
        <f>Composite!G180</f>
        <v>0</v>
      </c>
      <c r="I155" s="24" t="str">
        <f>Composite!H180</f>
        <v>ResCACPNW</v>
      </c>
      <c r="J155" s="24">
        <f>Composite!I180</f>
        <v>-3.1860342580112393</v>
      </c>
      <c r="K155" s="24">
        <f>Composite!J180</f>
        <v>0</v>
      </c>
      <c r="L155" s="24">
        <f>Composite!K180</f>
        <v>0</v>
      </c>
      <c r="M155" s="24">
        <f>Composite!L180</f>
        <v>0</v>
      </c>
      <c r="N155" s="24">
        <f>Composite!M180</f>
        <v>0</v>
      </c>
      <c r="O155" s="24">
        <f>Composite!N180</f>
        <v>0</v>
      </c>
      <c r="P155" s="24">
        <f>Composite!O180</f>
        <v>0</v>
      </c>
      <c r="Q155" s="24">
        <f>Composite!P180</f>
        <v>0</v>
      </c>
      <c r="R155" s="24" t="str">
        <f>Composite!Q180</f>
        <v/>
      </c>
    </row>
    <row r="156" spans="1:18">
      <c r="A156" t="s">
        <v>53</v>
      </c>
      <c r="B156" t="str">
        <f t="shared" si="3"/>
        <v>Tier1_indor2_HZ2_gfncDHWkwh</v>
      </c>
      <c r="C156" s="24" t="str">
        <f>Composite!B181</f>
        <v>Tier1_indor2_HZ2_gfnc</v>
      </c>
      <c r="D156" s="24" t="str">
        <f>Composite!C181</f>
        <v>DHWkwh</v>
      </c>
      <c r="E156" s="44">
        <f>Composite!D181</f>
        <v>1310.2363695143879</v>
      </c>
      <c r="F156" s="24">
        <f>Composite!E181</f>
        <v>13</v>
      </c>
      <c r="G156" s="24">
        <f>Composite!F181</f>
        <v>724.5875237038573</v>
      </c>
      <c r="H156" s="24">
        <f>Composite!G181</f>
        <v>0</v>
      </c>
      <c r="I156" s="24" t="str">
        <f>Composite!H181</f>
        <v>ResDHW</v>
      </c>
      <c r="J156" s="24">
        <f>Composite!I181</f>
        <v>-4.6365753722866305</v>
      </c>
      <c r="K156" s="24">
        <f>Composite!J181</f>
        <v>0</v>
      </c>
      <c r="L156" s="24">
        <f>Composite!K181</f>
        <v>0</v>
      </c>
      <c r="M156" s="24">
        <f>Composite!L181</f>
        <v>0</v>
      </c>
      <c r="N156" s="24">
        <f>Composite!M181</f>
        <v>0</v>
      </c>
      <c r="O156" s="24">
        <f>Composite!N181</f>
        <v>0</v>
      </c>
      <c r="P156" s="24">
        <f>Composite!O181</f>
        <v>0</v>
      </c>
      <c r="Q156" s="24">
        <f>Composite!P181</f>
        <v>0</v>
      </c>
      <c r="R156" s="24" t="str">
        <f>Composite!Q181</f>
        <v/>
      </c>
    </row>
    <row r="157" spans="1:18" ht="25.5">
      <c r="A157" t="s">
        <v>53</v>
      </c>
      <c r="B157" t="str">
        <f t="shared" si="3"/>
        <v>Tier1_indor2_HZ2_gfncHeatkwh</v>
      </c>
      <c r="C157" s="24" t="str">
        <f>Composite!B182</f>
        <v>Tier1_indor2_HZ2_gfnc</v>
      </c>
      <c r="D157" s="24" t="str">
        <f>Composite!C182</f>
        <v>Heatkwh</v>
      </c>
      <c r="E157" s="44">
        <f>Composite!D182</f>
        <v>-12.827895357275422</v>
      </c>
      <c r="F157" s="24">
        <f>Composite!E182</f>
        <v>13</v>
      </c>
      <c r="G157" s="24">
        <f>Composite!F182</f>
        <v>0</v>
      </c>
      <c r="H157" s="24">
        <f>Composite!G182</f>
        <v>0</v>
      </c>
      <c r="I157" s="24" t="str">
        <f>Composite!H182</f>
        <v>ResSpHtFAFZ2</v>
      </c>
      <c r="J157" s="24">
        <f>Composite!I182</f>
        <v>-4.6365753722866305</v>
      </c>
      <c r="K157" s="24">
        <f>Composite!J182</f>
        <v>0</v>
      </c>
      <c r="L157" s="24">
        <f>Composite!K182</f>
        <v>0</v>
      </c>
      <c r="M157" s="24">
        <f>Composite!L182</f>
        <v>0</v>
      </c>
      <c r="N157" s="24">
        <f>Composite!M182</f>
        <v>0</v>
      </c>
      <c r="O157" s="24">
        <f>Composite!N182</f>
        <v>0</v>
      </c>
      <c r="P157" s="24">
        <f>Composite!O182</f>
        <v>0</v>
      </c>
      <c r="Q157" s="24">
        <f>Composite!P182</f>
        <v>-17.66209936662602</v>
      </c>
      <c r="R157" s="24" t="str">
        <f>Composite!Q182</f>
        <v>ResSpHtFAFZ2</v>
      </c>
    </row>
    <row r="158" spans="1:18" ht="25.5">
      <c r="A158" t="s">
        <v>53</v>
      </c>
      <c r="B158" t="str">
        <f t="shared" si="3"/>
        <v>Tier1_indor2_HZ2_gfncCoolkwh</v>
      </c>
      <c r="C158" s="24" t="str">
        <f>Composite!B183</f>
        <v>Tier1_indor2_HZ2_gfnc</v>
      </c>
      <c r="D158" s="24" t="str">
        <f>Composite!C183</f>
        <v>Coolkwh</v>
      </c>
      <c r="E158" s="44">
        <f>Composite!D183</f>
        <v>0</v>
      </c>
      <c r="F158" s="24">
        <f>Composite!E183</f>
        <v>13</v>
      </c>
      <c r="G158" s="24">
        <f>Composite!F183</f>
        <v>0</v>
      </c>
      <c r="H158" s="24">
        <f>Composite!G183</f>
        <v>0</v>
      </c>
      <c r="I158" s="24" t="str">
        <f>Composite!H183</f>
        <v>ResCACPNW</v>
      </c>
      <c r="J158" s="24">
        <f>Composite!I183</f>
        <v>-4.6365753722866305</v>
      </c>
      <c r="K158" s="24">
        <f>Composite!J183</f>
        <v>0</v>
      </c>
      <c r="L158" s="24">
        <f>Composite!K183</f>
        <v>0</v>
      </c>
      <c r="M158" s="24">
        <f>Composite!L183</f>
        <v>0</v>
      </c>
      <c r="N158" s="24">
        <f>Composite!M183</f>
        <v>0</v>
      </c>
      <c r="O158" s="24">
        <f>Composite!N183</f>
        <v>0</v>
      </c>
      <c r="P158" s="24">
        <f>Composite!O183</f>
        <v>0</v>
      </c>
      <c r="Q158" s="24">
        <f>Composite!P183</f>
        <v>0</v>
      </c>
      <c r="R158" s="24" t="str">
        <f>Composite!Q183</f>
        <v/>
      </c>
    </row>
    <row r="159" spans="1:18">
      <c r="A159" t="s">
        <v>53</v>
      </c>
      <c r="B159" t="str">
        <f t="shared" si="3"/>
        <v>Tier1_indor2_HZ2_gfacDHWkwh</v>
      </c>
      <c r="C159" s="24" t="str">
        <f>Composite!B184</f>
        <v>Tier1_indor2_HZ2_gfac</v>
      </c>
      <c r="D159" s="24" t="str">
        <f>Composite!C184</f>
        <v>DHWkwh</v>
      </c>
      <c r="E159" s="44">
        <f>Composite!D184</f>
        <v>1290.711854118596</v>
      </c>
      <c r="F159" s="24">
        <f>Composite!E184</f>
        <v>13</v>
      </c>
      <c r="G159" s="24">
        <f>Composite!F184</f>
        <v>724.5875237038573</v>
      </c>
      <c r="H159" s="24">
        <f>Composite!G184</f>
        <v>0</v>
      </c>
      <c r="I159" s="24" t="str">
        <f>Composite!H184</f>
        <v>ResDHW</v>
      </c>
      <c r="J159" s="24">
        <f>Composite!I184</f>
        <v>-4.6882128078901584</v>
      </c>
      <c r="K159" s="24">
        <f>Composite!J184</f>
        <v>0</v>
      </c>
      <c r="L159" s="24">
        <f>Composite!K184</f>
        <v>0</v>
      </c>
      <c r="M159" s="24">
        <f>Composite!L184</f>
        <v>0</v>
      </c>
      <c r="N159" s="24">
        <f>Composite!M184</f>
        <v>0</v>
      </c>
      <c r="O159" s="24">
        <f>Composite!N184</f>
        <v>0</v>
      </c>
      <c r="P159" s="24">
        <f>Composite!O184</f>
        <v>0</v>
      </c>
      <c r="Q159" s="24">
        <f>Composite!P184</f>
        <v>0</v>
      </c>
      <c r="R159" s="24" t="str">
        <f>Composite!Q184</f>
        <v/>
      </c>
    </row>
    <row r="160" spans="1:18" ht="25.5">
      <c r="A160" t="s">
        <v>53</v>
      </c>
      <c r="B160" t="str">
        <f t="shared" si="3"/>
        <v>Tier1_indor2_HZ2_gfacHeatkwh</v>
      </c>
      <c r="C160" s="24" t="str">
        <f>Composite!B185</f>
        <v>Tier1_indor2_HZ2_gfac</v>
      </c>
      <c r="D160" s="24" t="str">
        <f>Composite!C185</f>
        <v>Heatkwh</v>
      </c>
      <c r="E160" s="44">
        <f>Composite!D185</f>
        <v>-13.571148677924437</v>
      </c>
      <c r="F160" s="24">
        <f>Composite!E185</f>
        <v>13</v>
      </c>
      <c r="G160" s="24">
        <f>Composite!F185</f>
        <v>0</v>
      </c>
      <c r="H160" s="24">
        <f>Composite!G185</f>
        <v>0</v>
      </c>
      <c r="I160" s="24" t="str">
        <f>Composite!H185</f>
        <v>ResSpHtFAFZ2</v>
      </c>
      <c r="J160" s="24">
        <f>Composite!I185</f>
        <v>-4.6882128078901584</v>
      </c>
      <c r="K160" s="24">
        <f>Composite!J185</f>
        <v>0</v>
      </c>
      <c r="L160" s="24">
        <f>Composite!K185</f>
        <v>0</v>
      </c>
      <c r="M160" s="24">
        <f>Composite!L185</f>
        <v>0</v>
      </c>
      <c r="N160" s="24">
        <f>Composite!M185</f>
        <v>0</v>
      </c>
      <c r="O160" s="24">
        <f>Composite!N185</f>
        <v>0</v>
      </c>
      <c r="P160" s="24">
        <f>Composite!O185</f>
        <v>0</v>
      </c>
      <c r="Q160" s="24">
        <f>Composite!P185</f>
        <v>-17.835808755255901</v>
      </c>
      <c r="R160" s="24" t="str">
        <f>Composite!Q185</f>
        <v>ResSpHtFAFZ2</v>
      </c>
    </row>
    <row r="161" spans="1:18" ht="25.5">
      <c r="A161" t="s">
        <v>53</v>
      </c>
      <c r="B161" t="str">
        <f t="shared" si="3"/>
        <v>Tier1_indor2_HZ2_gfacCoolkwh</v>
      </c>
      <c r="C161" s="24" t="str">
        <f>Composite!B186</f>
        <v>Tier1_indor2_HZ2_gfac</v>
      </c>
      <c r="D161" s="24" t="str">
        <f>Composite!C186</f>
        <v>Coolkwh</v>
      </c>
      <c r="E161" s="44">
        <f>Composite!D186</f>
        <v>33.129570748535471</v>
      </c>
      <c r="F161" s="24">
        <f>Composite!E186</f>
        <v>13</v>
      </c>
      <c r="G161" s="24">
        <f>Composite!F186</f>
        <v>0</v>
      </c>
      <c r="H161" s="24">
        <f>Composite!G186</f>
        <v>0</v>
      </c>
      <c r="I161" s="24" t="str">
        <f>Composite!H186</f>
        <v>ResCACPNW</v>
      </c>
      <c r="J161" s="24">
        <f>Composite!I186</f>
        <v>-4.6882128078901584</v>
      </c>
      <c r="K161" s="24">
        <f>Composite!J186</f>
        <v>0</v>
      </c>
      <c r="L161" s="24">
        <f>Composite!K186</f>
        <v>0</v>
      </c>
      <c r="M161" s="24">
        <f>Composite!L186</f>
        <v>0</v>
      </c>
      <c r="N161" s="24">
        <f>Composite!M186</f>
        <v>0</v>
      </c>
      <c r="O161" s="24">
        <f>Composite!N186</f>
        <v>0</v>
      </c>
      <c r="P161" s="24">
        <f>Composite!O186</f>
        <v>0</v>
      </c>
      <c r="Q161" s="24">
        <f>Composite!P186</f>
        <v>0</v>
      </c>
      <c r="R161" s="24" t="str">
        <f>Composite!Q186</f>
        <v/>
      </c>
    </row>
    <row r="162" spans="1:18">
      <c r="A162" t="s">
        <v>53</v>
      </c>
      <c r="B162" t="str">
        <f t="shared" si="3"/>
        <v>Tier1_indor2_HZ2_efafDHWkwh</v>
      </c>
      <c r="C162" s="24" t="str">
        <f>Composite!B187</f>
        <v>Tier1_indor2_HZ2_efaf</v>
      </c>
      <c r="D162" s="24" t="str">
        <f>Composite!C187</f>
        <v>DHWkwh</v>
      </c>
      <c r="E162" s="44">
        <f>Composite!D187</f>
        <v>1310.2363695143879</v>
      </c>
      <c r="F162" s="24">
        <f>Composite!E187</f>
        <v>13</v>
      </c>
      <c r="G162" s="24">
        <f>Composite!F187</f>
        <v>724.5875237038573</v>
      </c>
      <c r="H162" s="24">
        <f>Composite!G187</f>
        <v>0</v>
      </c>
      <c r="I162" s="24" t="str">
        <f>Composite!H187</f>
        <v>ResDHW</v>
      </c>
      <c r="J162" s="24">
        <f>Composite!I187</f>
        <v>-3.2720615140776217</v>
      </c>
      <c r="K162" s="24">
        <f>Composite!J187</f>
        <v>0</v>
      </c>
      <c r="L162" s="24">
        <f>Composite!K187</f>
        <v>0</v>
      </c>
      <c r="M162" s="24">
        <f>Composite!L187</f>
        <v>0</v>
      </c>
      <c r="N162" s="24">
        <f>Composite!M187</f>
        <v>0</v>
      </c>
      <c r="O162" s="24">
        <f>Composite!N187</f>
        <v>0</v>
      </c>
      <c r="P162" s="24">
        <f>Composite!O187</f>
        <v>0</v>
      </c>
      <c r="Q162" s="24">
        <f>Composite!P187</f>
        <v>0</v>
      </c>
      <c r="R162" s="24" t="str">
        <f>Composite!Q187</f>
        <v/>
      </c>
    </row>
    <row r="163" spans="1:18" ht="25.5">
      <c r="A163" t="s">
        <v>53</v>
      </c>
      <c r="B163" t="str">
        <f t="shared" si="3"/>
        <v>Tier1_indor2_HZ2_efafHeatkwh</v>
      </c>
      <c r="C163" s="24" t="str">
        <f>Composite!B188</f>
        <v>Tier1_indor2_HZ2_efaf</v>
      </c>
      <c r="D163" s="24" t="str">
        <f>Composite!C188</f>
        <v>Heatkwh</v>
      </c>
      <c r="E163" s="44">
        <f>Composite!D188</f>
        <v>-328.0895056105461</v>
      </c>
      <c r="F163" s="24">
        <f>Composite!E188</f>
        <v>13</v>
      </c>
      <c r="G163" s="24">
        <f>Composite!F188</f>
        <v>0</v>
      </c>
      <c r="H163" s="24">
        <f>Composite!G188</f>
        <v>0</v>
      </c>
      <c r="I163" s="24" t="str">
        <f>Composite!H188</f>
        <v>ResSpHtFAFZ2</v>
      </c>
      <c r="J163" s="24">
        <f>Composite!I188</f>
        <v>-3.2720615140776217</v>
      </c>
      <c r="K163" s="24">
        <f>Composite!J188</f>
        <v>0</v>
      </c>
      <c r="L163" s="24">
        <f>Composite!K188</f>
        <v>0</v>
      </c>
      <c r="M163" s="24">
        <f>Composite!L188</f>
        <v>0</v>
      </c>
      <c r="N163" s="24">
        <f>Composite!M188</f>
        <v>0</v>
      </c>
      <c r="O163" s="24">
        <f>Composite!N188</f>
        <v>0</v>
      </c>
      <c r="P163" s="24">
        <f>Composite!O188</f>
        <v>0</v>
      </c>
      <c r="Q163" s="24">
        <f>Composite!P188</f>
        <v>-0.24615837127711976</v>
      </c>
      <c r="R163" s="24" t="str">
        <f>Composite!Q188</f>
        <v>ResSpHtFAFZ2</v>
      </c>
    </row>
    <row r="164" spans="1:18" ht="25.5">
      <c r="A164" t="s">
        <v>53</v>
      </c>
      <c r="B164" t="str">
        <f t="shared" si="3"/>
        <v>Tier1_indor2_HZ2_efafCoolkwh</v>
      </c>
      <c r="C164" s="24" t="str">
        <f>Composite!B189</f>
        <v>Tier1_indor2_HZ2_efaf</v>
      </c>
      <c r="D164" s="24" t="str">
        <f>Composite!C189</f>
        <v>Coolkwh</v>
      </c>
      <c r="E164" s="44">
        <f>Composite!D189</f>
        <v>0</v>
      </c>
      <c r="F164" s="24">
        <f>Composite!E189</f>
        <v>13</v>
      </c>
      <c r="G164" s="24">
        <f>Composite!F189</f>
        <v>0</v>
      </c>
      <c r="H164" s="24">
        <f>Composite!G189</f>
        <v>0</v>
      </c>
      <c r="I164" s="24" t="str">
        <f>Composite!H189</f>
        <v>ResCACPNW</v>
      </c>
      <c r="J164" s="24">
        <f>Composite!I189</f>
        <v>-3.2720615140776217</v>
      </c>
      <c r="K164" s="24">
        <f>Composite!J189</f>
        <v>0</v>
      </c>
      <c r="L164" s="24">
        <f>Composite!K189</f>
        <v>0</v>
      </c>
      <c r="M164" s="24">
        <f>Composite!L189</f>
        <v>0</v>
      </c>
      <c r="N164" s="24">
        <f>Composite!M189</f>
        <v>0</v>
      </c>
      <c r="O164" s="24">
        <f>Composite!N189</f>
        <v>0</v>
      </c>
      <c r="P164" s="24">
        <f>Composite!O189</f>
        <v>0</v>
      </c>
      <c r="Q164" s="24">
        <f>Composite!P189</f>
        <v>0</v>
      </c>
      <c r="R164" s="24" t="str">
        <f>Composite!Q189</f>
        <v/>
      </c>
    </row>
    <row r="165" spans="1:18">
      <c r="A165" t="s">
        <v>53</v>
      </c>
      <c r="B165" t="str">
        <f t="shared" si="3"/>
        <v>Tier1_indor2_HZ2_hp85DHWkwh</v>
      </c>
      <c r="C165" s="24" t="str">
        <f>Composite!B190</f>
        <v>Tier1_indor2_HZ2_hp85</v>
      </c>
      <c r="D165" s="24" t="str">
        <f>Composite!C190</f>
        <v>DHWkwh</v>
      </c>
      <c r="E165" s="44">
        <f>Composite!D190</f>
        <v>1290.7265967492426</v>
      </c>
      <c r="F165" s="24">
        <f>Composite!E190</f>
        <v>13</v>
      </c>
      <c r="G165" s="24">
        <f>Composite!F190</f>
        <v>724.5875237038573</v>
      </c>
      <c r="H165" s="24">
        <f>Composite!G190</f>
        <v>0</v>
      </c>
      <c r="I165" s="24" t="str">
        <f>Composite!H190</f>
        <v>ResDHW</v>
      </c>
      <c r="J165" s="24">
        <f>Composite!I190</f>
        <v>-2.0996322588157486</v>
      </c>
      <c r="K165" s="24">
        <f>Composite!J190</f>
        <v>0</v>
      </c>
      <c r="L165" s="24">
        <f>Composite!K190</f>
        <v>0</v>
      </c>
      <c r="M165" s="24">
        <f>Composite!L190</f>
        <v>0</v>
      </c>
      <c r="N165" s="24">
        <f>Composite!M190</f>
        <v>0</v>
      </c>
      <c r="O165" s="24">
        <f>Composite!N190</f>
        <v>0</v>
      </c>
      <c r="P165" s="24">
        <f>Composite!O190</f>
        <v>0</v>
      </c>
      <c r="Q165" s="24">
        <f>Composite!P190</f>
        <v>0</v>
      </c>
      <c r="R165" s="24" t="str">
        <f>Composite!Q190</f>
        <v/>
      </c>
    </row>
    <row r="166" spans="1:18" ht="25.5">
      <c r="A166" t="s">
        <v>53</v>
      </c>
      <c r="B166" t="str">
        <f t="shared" si="3"/>
        <v>Tier1_indor2_HZ2_hp85Heatkwh</v>
      </c>
      <c r="C166" s="24" t="str">
        <f>Composite!B191</f>
        <v>Tier1_indor2_HZ2_hp85</v>
      </c>
      <c r="D166" s="24" t="str">
        <f>Composite!C191</f>
        <v>Heatkwh</v>
      </c>
      <c r="E166" s="44">
        <f>Composite!D191</f>
        <v>-210.53006087906681</v>
      </c>
      <c r="F166" s="24">
        <f>Composite!E191</f>
        <v>13</v>
      </c>
      <c r="G166" s="24">
        <f>Composite!F191</f>
        <v>0</v>
      </c>
      <c r="H166" s="24">
        <f>Composite!G191</f>
        <v>0</v>
      </c>
      <c r="I166" s="24" t="str">
        <f>Composite!H191</f>
        <v>ResSpHtHPZ2</v>
      </c>
      <c r="J166" s="24">
        <f>Composite!I191</f>
        <v>-2.0996322588157486</v>
      </c>
      <c r="K166" s="24">
        <f>Composite!J191</f>
        <v>0</v>
      </c>
      <c r="L166" s="24">
        <f>Composite!K191</f>
        <v>0</v>
      </c>
      <c r="M166" s="24">
        <f>Composite!L191</f>
        <v>0</v>
      </c>
      <c r="N166" s="24">
        <f>Composite!M191</f>
        <v>0</v>
      </c>
      <c r="O166" s="24">
        <f>Composite!N191</f>
        <v>0</v>
      </c>
      <c r="P166" s="24">
        <f>Composite!O191</f>
        <v>0</v>
      </c>
      <c r="Q166" s="24">
        <f>Composite!P191</f>
        <v>-0.15795609431159488</v>
      </c>
      <c r="R166" s="24" t="str">
        <f>Composite!Q191</f>
        <v>ResSpHtHPZ2</v>
      </c>
    </row>
    <row r="167" spans="1:18" ht="25.5">
      <c r="A167" t="s">
        <v>53</v>
      </c>
      <c r="B167" t="str">
        <f t="shared" si="3"/>
        <v>Tier1_indor2_HZ2_hp85Coolkwh</v>
      </c>
      <c r="C167" s="24" t="str">
        <f>Composite!B192</f>
        <v>Tier1_indor2_HZ2_hp85</v>
      </c>
      <c r="D167" s="24" t="str">
        <f>Composite!C192</f>
        <v>Coolkwh</v>
      </c>
      <c r="E167" s="44">
        <f>Composite!D192</f>
        <v>33.319817172968932</v>
      </c>
      <c r="F167" s="24">
        <f>Composite!E192</f>
        <v>13</v>
      </c>
      <c r="G167" s="24">
        <f>Composite!F192</f>
        <v>0</v>
      </c>
      <c r="H167" s="24">
        <f>Composite!G192</f>
        <v>0</v>
      </c>
      <c r="I167" s="24" t="str">
        <f>Composite!H192</f>
        <v>ResCACPNW</v>
      </c>
      <c r="J167" s="24">
        <f>Composite!I192</f>
        <v>-2.0996322588157486</v>
      </c>
      <c r="K167" s="24">
        <f>Composite!J192</f>
        <v>0</v>
      </c>
      <c r="L167" s="24">
        <f>Composite!K192</f>
        <v>0</v>
      </c>
      <c r="M167" s="24">
        <f>Composite!L192</f>
        <v>0</v>
      </c>
      <c r="N167" s="24">
        <f>Composite!M192</f>
        <v>0</v>
      </c>
      <c r="O167" s="24">
        <f>Composite!N192</f>
        <v>0</v>
      </c>
      <c r="P167" s="24">
        <f>Composite!O192</f>
        <v>0</v>
      </c>
      <c r="Q167" s="24">
        <f>Composite!P192</f>
        <v>0</v>
      </c>
      <c r="R167" s="24" t="str">
        <f>Composite!Q192</f>
        <v/>
      </c>
    </row>
    <row r="168" spans="1:18">
      <c r="A168" t="s">
        <v>53</v>
      </c>
      <c r="B168" t="str">
        <f t="shared" si="3"/>
        <v>Tier1_indor2_HZ2_zonlDHWkwh</v>
      </c>
      <c r="C168" s="24" t="str">
        <f>Composite!B193</f>
        <v>Tier1_indor2_HZ2_zonl</v>
      </c>
      <c r="D168" s="24" t="str">
        <f>Composite!C193</f>
        <v>DHWkwh</v>
      </c>
      <c r="E168" s="44">
        <f>Composite!D193</f>
        <v>1309.9202011242153</v>
      </c>
      <c r="F168" s="24">
        <f>Composite!E193</f>
        <v>13</v>
      </c>
      <c r="G168" s="24">
        <f>Composite!F193</f>
        <v>724.5875237038573</v>
      </c>
      <c r="H168" s="24">
        <f>Composite!G193</f>
        <v>0</v>
      </c>
      <c r="I168" s="24" t="str">
        <f>Composite!H193</f>
        <v>ResDHW</v>
      </c>
      <c r="J168" s="24">
        <f>Composite!I193</f>
        <v>-2.9077739556591125</v>
      </c>
      <c r="K168" s="24">
        <f>Composite!J193</f>
        <v>0</v>
      </c>
      <c r="L168" s="24">
        <f>Composite!K193</f>
        <v>0</v>
      </c>
      <c r="M168" s="24">
        <f>Composite!L193</f>
        <v>0</v>
      </c>
      <c r="N168" s="24">
        <f>Composite!M193</f>
        <v>0</v>
      </c>
      <c r="O168" s="24">
        <f>Composite!N193</f>
        <v>0</v>
      </c>
      <c r="P168" s="24">
        <f>Composite!O193</f>
        <v>0</v>
      </c>
      <c r="Q168" s="24">
        <f>Composite!P193</f>
        <v>0</v>
      </c>
      <c r="R168" s="24" t="str">
        <f>Composite!Q193</f>
        <v/>
      </c>
    </row>
    <row r="169" spans="1:18" ht="25.5">
      <c r="A169" t="s">
        <v>53</v>
      </c>
      <c r="B169" t="str">
        <f t="shared" si="3"/>
        <v>Tier1_indor2_HZ2_zonlHeatkwh</v>
      </c>
      <c r="C169" s="24" t="str">
        <f>Composite!B194</f>
        <v>Tier1_indor2_HZ2_zonl</v>
      </c>
      <c r="D169" s="24" t="str">
        <f>Composite!C194</f>
        <v>Heatkwh</v>
      </c>
      <c r="E169" s="44">
        <f>Composite!D194</f>
        <v>-291.56240352906423</v>
      </c>
      <c r="F169" s="24">
        <f>Composite!E194</f>
        <v>13</v>
      </c>
      <c r="G169" s="24">
        <f>Composite!F194</f>
        <v>0</v>
      </c>
      <c r="H169" s="24">
        <f>Composite!G194</f>
        <v>0</v>
      </c>
      <c r="I169" s="24" t="str">
        <f>Composite!H194</f>
        <v>ResSpHtBBZ2</v>
      </c>
      <c r="J169" s="24">
        <f>Composite!I194</f>
        <v>-2.9077739556591125</v>
      </c>
      <c r="K169" s="24">
        <f>Composite!J194</f>
        <v>0</v>
      </c>
      <c r="L169" s="24">
        <f>Composite!K194</f>
        <v>0</v>
      </c>
      <c r="M169" s="24">
        <f>Composite!L194</f>
        <v>0</v>
      </c>
      <c r="N169" s="24">
        <f>Composite!M194</f>
        <v>0</v>
      </c>
      <c r="O169" s="24">
        <f>Composite!N194</f>
        <v>0</v>
      </c>
      <c r="P169" s="24">
        <f>Composite!O194</f>
        <v>0</v>
      </c>
      <c r="Q169" s="24">
        <f>Composite!P194</f>
        <v>-0.21875288648686911</v>
      </c>
      <c r="R169" s="24" t="str">
        <f>Composite!Q194</f>
        <v>ResSpHtBBZ2</v>
      </c>
    </row>
    <row r="170" spans="1:18" ht="25.5">
      <c r="A170" t="s">
        <v>53</v>
      </c>
      <c r="B170" t="str">
        <f t="shared" si="3"/>
        <v>Tier1_indor2_HZ2_zonlCoolkwh</v>
      </c>
      <c r="C170" s="24" t="str">
        <f>Composite!B195</f>
        <v>Tier1_indor2_HZ2_zonl</v>
      </c>
      <c r="D170" s="24" t="str">
        <f>Composite!C195</f>
        <v>Coolkwh</v>
      </c>
      <c r="E170" s="44">
        <f>Composite!D195</f>
        <v>0</v>
      </c>
      <c r="F170" s="24">
        <f>Composite!E195</f>
        <v>13</v>
      </c>
      <c r="G170" s="24">
        <f>Composite!F195</f>
        <v>0</v>
      </c>
      <c r="H170" s="24">
        <f>Composite!G195</f>
        <v>0</v>
      </c>
      <c r="I170" s="24" t="str">
        <f>Composite!H195</f>
        <v>ResCACPNW</v>
      </c>
      <c r="J170" s="24">
        <f>Composite!I195</f>
        <v>-2.9077739556591125</v>
      </c>
      <c r="K170" s="24">
        <f>Composite!J195</f>
        <v>0</v>
      </c>
      <c r="L170" s="24">
        <f>Composite!K195</f>
        <v>0</v>
      </c>
      <c r="M170" s="24">
        <f>Composite!L195</f>
        <v>0</v>
      </c>
      <c r="N170" s="24">
        <f>Composite!M195</f>
        <v>0</v>
      </c>
      <c r="O170" s="24">
        <f>Composite!N195</f>
        <v>0</v>
      </c>
      <c r="P170" s="24">
        <f>Composite!O195</f>
        <v>0</v>
      </c>
      <c r="Q170" s="24">
        <f>Composite!P195</f>
        <v>0</v>
      </c>
      <c r="R170" s="24" t="str">
        <f>Composite!Q195</f>
        <v/>
      </c>
    </row>
    <row r="171" spans="1:18">
      <c r="A171" t="s">
        <v>53</v>
      </c>
      <c r="B171" t="str">
        <f t="shared" si="3"/>
        <v>Tier1_indor2_HZ3_gfncDHWkwh</v>
      </c>
      <c r="C171" s="24" t="str">
        <f>Composite!B196</f>
        <v>Tier1_indor2_HZ3_gfnc</v>
      </c>
      <c r="D171" s="24" t="str">
        <f>Composite!C196</f>
        <v>DHWkwh</v>
      </c>
      <c r="E171" s="44">
        <f>Composite!D196</f>
        <v>1340.44858307818</v>
      </c>
      <c r="F171" s="24">
        <f>Composite!E196</f>
        <v>13</v>
      </c>
      <c r="G171" s="24">
        <f>Composite!F196</f>
        <v>724.5875237038573</v>
      </c>
      <c r="H171" s="24">
        <f>Composite!G196</f>
        <v>0</v>
      </c>
      <c r="I171" s="24" t="str">
        <f>Composite!H196</f>
        <v>ResDHW</v>
      </c>
      <c r="J171" s="24">
        <f>Composite!I196</f>
        <v>-4.258992974136226</v>
      </c>
      <c r="K171" s="24">
        <f>Composite!J196</f>
        <v>0</v>
      </c>
      <c r="L171" s="24">
        <f>Composite!K196</f>
        <v>0</v>
      </c>
      <c r="M171" s="24">
        <f>Composite!L196</f>
        <v>0</v>
      </c>
      <c r="N171" s="24">
        <f>Composite!M196</f>
        <v>0</v>
      </c>
      <c r="O171" s="24">
        <f>Composite!N196</f>
        <v>0</v>
      </c>
      <c r="P171" s="24">
        <f>Composite!O196</f>
        <v>0</v>
      </c>
      <c r="Q171" s="24">
        <f>Composite!P196</f>
        <v>0</v>
      </c>
      <c r="R171" s="24" t="str">
        <f>Composite!Q196</f>
        <v/>
      </c>
    </row>
    <row r="172" spans="1:18" ht="25.5">
      <c r="A172" t="s">
        <v>53</v>
      </c>
      <c r="B172" t="str">
        <f t="shared" si="3"/>
        <v>Tier1_indor2_HZ3_gfncHeatkwh</v>
      </c>
      <c r="C172" s="24" t="str">
        <f>Composite!B197</f>
        <v>Tier1_indor2_HZ3_gfnc</v>
      </c>
      <c r="D172" s="24" t="str">
        <f>Composite!C197</f>
        <v>Heatkwh</v>
      </c>
      <c r="E172" s="44">
        <f>Composite!D197</f>
        <v>-11.970880184044759</v>
      </c>
      <c r="F172" s="24">
        <f>Composite!E197</f>
        <v>13</v>
      </c>
      <c r="G172" s="24">
        <f>Composite!F197</f>
        <v>0</v>
      </c>
      <c r="H172" s="24">
        <f>Composite!G197</f>
        <v>0</v>
      </c>
      <c r="I172" s="24" t="str">
        <f>Composite!H197</f>
        <v>ResSpHtFAFZ3</v>
      </c>
      <c r="J172" s="24">
        <f>Composite!I197</f>
        <v>-4.258992974136226</v>
      </c>
      <c r="K172" s="24">
        <f>Composite!J197</f>
        <v>0</v>
      </c>
      <c r="L172" s="24">
        <f>Composite!K197</f>
        <v>0</v>
      </c>
      <c r="M172" s="24">
        <f>Composite!L197</f>
        <v>0</v>
      </c>
      <c r="N172" s="24">
        <f>Composite!M197</f>
        <v>0</v>
      </c>
      <c r="O172" s="24">
        <f>Composite!N197</f>
        <v>0</v>
      </c>
      <c r="P172" s="24">
        <f>Composite!O197</f>
        <v>0</v>
      </c>
      <c r="Q172" s="24">
        <f>Composite!P197</f>
        <v>-16.21658959322032</v>
      </c>
      <c r="R172" s="24" t="str">
        <f>Composite!Q197</f>
        <v>ResSpHtFAFZ3</v>
      </c>
    </row>
    <row r="173" spans="1:18" ht="25.5">
      <c r="A173" t="s">
        <v>53</v>
      </c>
      <c r="B173" t="str">
        <f t="shared" si="3"/>
        <v>Tier1_indor2_HZ3_gfncCoolkwh</v>
      </c>
      <c r="C173" s="24" t="str">
        <f>Composite!B198</f>
        <v>Tier1_indor2_HZ3_gfnc</v>
      </c>
      <c r="D173" s="24" t="str">
        <f>Composite!C198</f>
        <v>Coolkwh</v>
      </c>
      <c r="E173" s="44">
        <f>Composite!D198</f>
        <v>0</v>
      </c>
      <c r="F173" s="24">
        <f>Composite!E198</f>
        <v>13</v>
      </c>
      <c r="G173" s="24">
        <f>Composite!F198</f>
        <v>0</v>
      </c>
      <c r="H173" s="24">
        <f>Composite!G198</f>
        <v>0</v>
      </c>
      <c r="I173" s="24" t="str">
        <f>Composite!H198</f>
        <v>ResCACPNW</v>
      </c>
      <c r="J173" s="24">
        <f>Composite!I198</f>
        <v>-4.258992974136226</v>
      </c>
      <c r="K173" s="24">
        <f>Composite!J198</f>
        <v>0</v>
      </c>
      <c r="L173" s="24">
        <f>Composite!K198</f>
        <v>0</v>
      </c>
      <c r="M173" s="24">
        <f>Composite!L198</f>
        <v>0</v>
      </c>
      <c r="N173" s="24">
        <f>Composite!M198</f>
        <v>0</v>
      </c>
      <c r="O173" s="24">
        <f>Composite!N198</f>
        <v>0</v>
      </c>
      <c r="P173" s="24">
        <f>Composite!O198</f>
        <v>0</v>
      </c>
      <c r="Q173" s="24">
        <f>Composite!P198</f>
        <v>0</v>
      </c>
      <c r="R173" s="24" t="str">
        <f>Composite!Q198</f>
        <v/>
      </c>
    </row>
    <row r="174" spans="1:18">
      <c r="A174" t="s">
        <v>53</v>
      </c>
      <c r="B174" t="str">
        <f t="shared" si="3"/>
        <v>Tier1_indor2_HZ3_gfacDHWkwh</v>
      </c>
      <c r="C174" s="24" t="str">
        <f>Composite!B199</f>
        <v>Tier1_indor2_HZ3_gfac</v>
      </c>
      <c r="D174" s="24" t="str">
        <f>Composite!C199</f>
        <v>DHWkwh</v>
      </c>
      <c r="E174" s="44">
        <f>Composite!D199</f>
        <v>1326.6188989663367</v>
      </c>
      <c r="F174" s="24">
        <f>Composite!E199</f>
        <v>13</v>
      </c>
      <c r="G174" s="24">
        <f>Composite!F199</f>
        <v>724.5875237038573</v>
      </c>
      <c r="H174" s="24">
        <f>Composite!G199</f>
        <v>0</v>
      </c>
      <c r="I174" s="24" t="str">
        <f>Composite!H199</f>
        <v>ResDHW</v>
      </c>
      <c r="J174" s="24">
        <f>Composite!I199</f>
        <v>-4.3286342520108745</v>
      </c>
      <c r="K174" s="24">
        <f>Composite!J199</f>
        <v>0</v>
      </c>
      <c r="L174" s="24">
        <f>Composite!K199</f>
        <v>0</v>
      </c>
      <c r="M174" s="24">
        <f>Composite!L199</f>
        <v>0</v>
      </c>
      <c r="N174" s="24">
        <f>Composite!M199</f>
        <v>0</v>
      </c>
      <c r="O174" s="24">
        <f>Composite!N199</f>
        <v>0</v>
      </c>
      <c r="P174" s="24">
        <f>Composite!O199</f>
        <v>0</v>
      </c>
      <c r="Q174" s="24">
        <f>Composite!P199</f>
        <v>0</v>
      </c>
      <c r="R174" s="24" t="str">
        <f>Composite!Q199</f>
        <v/>
      </c>
    </row>
    <row r="175" spans="1:18" ht="25.5">
      <c r="A175" t="s">
        <v>53</v>
      </c>
      <c r="B175" t="str">
        <f t="shared" si="3"/>
        <v>Tier1_indor2_HZ3_gfacHeatkwh</v>
      </c>
      <c r="C175" s="24" t="str">
        <f>Composite!B200</f>
        <v>Tier1_indor2_HZ3_gfac</v>
      </c>
      <c r="D175" s="24" t="str">
        <f>Composite!C200</f>
        <v>Heatkwh</v>
      </c>
      <c r="E175" s="44">
        <f>Composite!D200</f>
        <v>-12.493420972743845</v>
      </c>
      <c r="F175" s="24">
        <f>Composite!E200</f>
        <v>13</v>
      </c>
      <c r="G175" s="24">
        <f>Composite!F200</f>
        <v>0</v>
      </c>
      <c r="H175" s="24">
        <f>Composite!G200</f>
        <v>0</v>
      </c>
      <c r="I175" s="24" t="str">
        <f>Composite!H200</f>
        <v>ResSpHtFAFZ3</v>
      </c>
      <c r="J175" s="24">
        <f>Composite!I200</f>
        <v>-4.3286342520108745</v>
      </c>
      <c r="K175" s="24">
        <f>Composite!J200</f>
        <v>0</v>
      </c>
      <c r="L175" s="24">
        <f>Composite!K200</f>
        <v>0</v>
      </c>
      <c r="M175" s="24">
        <f>Composite!L200</f>
        <v>0</v>
      </c>
      <c r="N175" s="24">
        <f>Composite!M200</f>
        <v>0</v>
      </c>
      <c r="O175" s="24">
        <f>Composite!N200</f>
        <v>0</v>
      </c>
      <c r="P175" s="24">
        <f>Composite!O200</f>
        <v>0</v>
      </c>
      <c r="Q175" s="24">
        <f>Composite!P200</f>
        <v>-16.469241178086019</v>
      </c>
      <c r="R175" s="24" t="str">
        <f>Composite!Q200</f>
        <v>ResSpHtFAFZ3</v>
      </c>
    </row>
    <row r="176" spans="1:18" ht="25.5">
      <c r="A176" t="s">
        <v>53</v>
      </c>
      <c r="B176" t="str">
        <f t="shared" si="3"/>
        <v>Tier1_indor2_HZ3_gfacCoolkwh</v>
      </c>
      <c r="C176" s="24" t="str">
        <f>Composite!B201</f>
        <v>Tier1_indor2_HZ3_gfac</v>
      </c>
      <c r="D176" s="24" t="str">
        <f>Composite!C201</f>
        <v>Coolkwh</v>
      </c>
      <c r="E176" s="44">
        <f>Composite!D201</f>
        <v>35.292250597433956</v>
      </c>
      <c r="F176" s="24">
        <f>Composite!E201</f>
        <v>13</v>
      </c>
      <c r="G176" s="24">
        <f>Composite!F201</f>
        <v>0</v>
      </c>
      <c r="H176" s="24">
        <f>Composite!G201</f>
        <v>0</v>
      </c>
      <c r="I176" s="24" t="str">
        <f>Composite!H201</f>
        <v>ResCACPNW</v>
      </c>
      <c r="J176" s="24">
        <f>Composite!I201</f>
        <v>-4.3286342520108745</v>
      </c>
      <c r="K176" s="24">
        <f>Composite!J201</f>
        <v>0</v>
      </c>
      <c r="L176" s="24">
        <f>Composite!K201</f>
        <v>0</v>
      </c>
      <c r="M176" s="24">
        <f>Composite!L201</f>
        <v>0</v>
      </c>
      <c r="N176" s="24">
        <f>Composite!M201</f>
        <v>0</v>
      </c>
      <c r="O176" s="24">
        <f>Composite!N201</f>
        <v>0</v>
      </c>
      <c r="P176" s="24">
        <f>Composite!O201</f>
        <v>0</v>
      </c>
      <c r="Q176" s="24">
        <f>Composite!P201</f>
        <v>0</v>
      </c>
      <c r="R176" s="24" t="str">
        <f>Composite!Q201</f>
        <v/>
      </c>
    </row>
    <row r="177" spans="1:18">
      <c r="A177" t="s">
        <v>53</v>
      </c>
      <c r="B177" t="str">
        <f t="shared" si="3"/>
        <v>Tier1_indor2_HZ3_efafDHWkwh</v>
      </c>
      <c r="C177" s="24" t="str">
        <f>Composite!B202</f>
        <v>Tier1_indor2_HZ3_efaf</v>
      </c>
      <c r="D177" s="24" t="str">
        <f>Composite!C202</f>
        <v>DHWkwh</v>
      </c>
      <c r="E177" s="44">
        <f>Composite!D202</f>
        <v>1340.44858307818</v>
      </c>
      <c r="F177" s="24">
        <f>Composite!E202</f>
        <v>13</v>
      </c>
      <c r="G177" s="24">
        <f>Composite!F202</f>
        <v>724.5875237038573</v>
      </c>
      <c r="H177" s="24">
        <f>Composite!G202</f>
        <v>0</v>
      </c>
      <c r="I177" s="24" t="str">
        <f>Composite!H202</f>
        <v>ResDHW</v>
      </c>
      <c r="J177" s="24">
        <f>Composite!I202</f>
        <v>-3.0001420000773384</v>
      </c>
      <c r="K177" s="24">
        <f>Composite!J202</f>
        <v>0</v>
      </c>
      <c r="L177" s="24">
        <f>Composite!K202</f>
        <v>0</v>
      </c>
      <c r="M177" s="24">
        <f>Composite!L202</f>
        <v>0</v>
      </c>
      <c r="N177" s="24">
        <f>Composite!M202</f>
        <v>0</v>
      </c>
      <c r="O177" s="24">
        <f>Composite!N202</f>
        <v>0</v>
      </c>
      <c r="P177" s="24">
        <f>Composite!O202</f>
        <v>0</v>
      </c>
      <c r="Q177" s="24">
        <f>Composite!P202</f>
        <v>0</v>
      </c>
      <c r="R177" s="24" t="str">
        <f>Composite!Q202</f>
        <v/>
      </c>
    </row>
    <row r="178" spans="1:18" ht="25.5">
      <c r="A178" t="s">
        <v>53</v>
      </c>
      <c r="B178" t="str">
        <f t="shared" si="3"/>
        <v>Tier1_indor2_HZ3_efafHeatkwh</v>
      </c>
      <c r="C178" s="24" t="str">
        <f>Composite!B203</f>
        <v>Tier1_indor2_HZ3_efaf</v>
      </c>
      <c r="D178" s="24" t="str">
        <f>Composite!C203</f>
        <v>Heatkwh</v>
      </c>
      <c r="E178" s="44">
        <f>Composite!D203</f>
        <v>-300.82414445202835</v>
      </c>
      <c r="F178" s="24">
        <f>Composite!E203</f>
        <v>13</v>
      </c>
      <c r="G178" s="24">
        <f>Composite!F203</f>
        <v>0</v>
      </c>
      <c r="H178" s="24">
        <f>Composite!G203</f>
        <v>0</v>
      </c>
      <c r="I178" s="24" t="str">
        <f>Composite!H203</f>
        <v>ResSpHtFAFZ3</v>
      </c>
      <c r="J178" s="24">
        <f>Composite!I203</f>
        <v>-3.0001420000773384</v>
      </c>
      <c r="K178" s="24">
        <f>Composite!J203</f>
        <v>0</v>
      </c>
      <c r="L178" s="24">
        <f>Composite!K203</f>
        <v>0</v>
      </c>
      <c r="M178" s="24">
        <f>Composite!L203</f>
        <v>0</v>
      </c>
      <c r="N178" s="24">
        <f>Composite!M203</f>
        <v>0</v>
      </c>
      <c r="O178" s="24">
        <f>Composite!N203</f>
        <v>0</v>
      </c>
      <c r="P178" s="24">
        <f>Composite!O203</f>
        <v>0</v>
      </c>
      <c r="Q178" s="24">
        <f>Composite!P203</f>
        <v>-0.22570176787990515</v>
      </c>
      <c r="R178" s="24" t="str">
        <f>Composite!Q203</f>
        <v>ResSpHtFAFZ3</v>
      </c>
    </row>
    <row r="179" spans="1:18" ht="25.5">
      <c r="A179" t="s">
        <v>53</v>
      </c>
      <c r="B179" t="str">
        <f t="shared" si="3"/>
        <v>Tier1_indor2_HZ3_efafCoolkwh</v>
      </c>
      <c r="C179" s="24" t="str">
        <f>Composite!B204</f>
        <v>Tier1_indor2_HZ3_efaf</v>
      </c>
      <c r="D179" s="24" t="str">
        <f>Composite!C204</f>
        <v>Coolkwh</v>
      </c>
      <c r="E179" s="44">
        <f>Composite!D204</f>
        <v>0</v>
      </c>
      <c r="F179" s="24">
        <f>Composite!E204</f>
        <v>13</v>
      </c>
      <c r="G179" s="24">
        <f>Composite!F204</f>
        <v>0</v>
      </c>
      <c r="H179" s="24">
        <f>Composite!G204</f>
        <v>0</v>
      </c>
      <c r="I179" s="24" t="str">
        <f>Composite!H204</f>
        <v>ResCACPNW</v>
      </c>
      <c r="J179" s="24">
        <f>Composite!I204</f>
        <v>-3.0001420000773384</v>
      </c>
      <c r="K179" s="24">
        <f>Composite!J204</f>
        <v>0</v>
      </c>
      <c r="L179" s="24">
        <f>Composite!K204</f>
        <v>0</v>
      </c>
      <c r="M179" s="24">
        <f>Composite!L204</f>
        <v>0</v>
      </c>
      <c r="N179" s="24">
        <f>Composite!M204</f>
        <v>0</v>
      </c>
      <c r="O179" s="24">
        <f>Composite!N204</f>
        <v>0</v>
      </c>
      <c r="P179" s="24">
        <f>Composite!O204</f>
        <v>0</v>
      </c>
      <c r="Q179" s="24">
        <f>Composite!P204</f>
        <v>0</v>
      </c>
      <c r="R179" s="24" t="str">
        <f>Composite!Q204</f>
        <v/>
      </c>
    </row>
    <row r="180" spans="1:18">
      <c r="A180" t="s">
        <v>53</v>
      </c>
      <c r="B180" t="str">
        <f t="shared" si="3"/>
        <v>Tier1_indor2_HZ3_hp85DHWkwh</v>
      </c>
      <c r="C180" s="24" t="str">
        <f>Composite!B205</f>
        <v>Tier1_indor2_HZ3_hp85</v>
      </c>
      <c r="D180" s="24" t="str">
        <f>Composite!C205</f>
        <v>DHWkwh</v>
      </c>
      <c r="E180" s="44">
        <f>Composite!D205</f>
        <v>1326.5331893124023</v>
      </c>
      <c r="F180" s="24">
        <f>Composite!E205</f>
        <v>13</v>
      </c>
      <c r="G180" s="24">
        <f>Composite!F205</f>
        <v>724.5875237038573</v>
      </c>
      <c r="H180" s="24">
        <f>Composite!G205</f>
        <v>0</v>
      </c>
      <c r="I180" s="24" t="str">
        <f>Composite!H205</f>
        <v>ResDHW</v>
      </c>
      <c r="J180" s="24">
        <f>Composite!I205</f>
        <v>-2.1813791972269616</v>
      </c>
      <c r="K180" s="24">
        <f>Composite!J205</f>
        <v>0</v>
      </c>
      <c r="L180" s="24">
        <f>Composite!K205</f>
        <v>0</v>
      </c>
      <c r="M180" s="24">
        <f>Composite!L205</f>
        <v>0</v>
      </c>
      <c r="N180" s="24">
        <f>Composite!M205</f>
        <v>0</v>
      </c>
      <c r="O180" s="24">
        <f>Composite!N205</f>
        <v>0</v>
      </c>
      <c r="P180" s="24">
        <f>Composite!O205</f>
        <v>0</v>
      </c>
      <c r="Q180" s="24">
        <f>Composite!P205</f>
        <v>0</v>
      </c>
      <c r="R180" s="24" t="str">
        <f>Composite!Q205</f>
        <v/>
      </c>
    </row>
    <row r="181" spans="1:18" ht="25.5">
      <c r="A181" t="s">
        <v>53</v>
      </c>
      <c r="B181" t="str">
        <f t="shared" si="3"/>
        <v>Tier1_indor2_HZ3_hp85Heatkwh</v>
      </c>
      <c r="C181" s="24" t="str">
        <f>Composite!B206</f>
        <v>Tier1_indor2_HZ3_hp85</v>
      </c>
      <c r="D181" s="24" t="str">
        <f>Composite!C206</f>
        <v>Heatkwh</v>
      </c>
      <c r="E181" s="44">
        <f>Composite!D206</f>
        <v>-218.72682383511753</v>
      </c>
      <c r="F181" s="24">
        <f>Composite!E206</f>
        <v>13</v>
      </c>
      <c r="G181" s="24">
        <f>Composite!F206</f>
        <v>0</v>
      </c>
      <c r="H181" s="24">
        <f>Composite!G206</f>
        <v>0</v>
      </c>
      <c r="I181" s="24" t="str">
        <f>Composite!H206</f>
        <v>ResSpHtHPZ3</v>
      </c>
      <c r="J181" s="24">
        <f>Composite!I206</f>
        <v>-2.1813791972269616</v>
      </c>
      <c r="K181" s="24">
        <f>Composite!J206</f>
        <v>0</v>
      </c>
      <c r="L181" s="24">
        <f>Composite!K206</f>
        <v>0</v>
      </c>
      <c r="M181" s="24">
        <f>Composite!L206</f>
        <v>0</v>
      </c>
      <c r="N181" s="24">
        <f>Composite!M206</f>
        <v>0</v>
      </c>
      <c r="O181" s="24">
        <f>Composite!N206</f>
        <v>0</v>
      </c>
      <c r="P181" s="24">
        <f>Composite!O206</f>
        <v>0</v>
      </c>
      <c r="Q181" s="24">
        <f>Composite!P206</f>
        <v>-0.16410594605784717</v>
      </c>
      <c r="R181" s="24" t="str">
        <f>Composite!Q206</f>
        <v>ResSpHtHPZ3</v>
      </c>
    </row>
    <row r="182" spans="1:18" ht="25.5">
      <c r="A182" t="s">
        <v>53</v>
      </c>
      <c r="B182" t="str">
        <f t="shared" si="3"/>
        <v>Tier1_indor2_HZ3_hp85Coolkwh</v>
      </c>
      <c r="C182" s="24" t="str">
        <f>Composite!B207</f>
        <v>Tier1_indor2_HZ3_hp85</v>
      </c>
      <c r="D182" s="24" t="str">
        <f>Composite!C207</f>
        <v>Coolkwh</v>
      </c>
      <c r="E182" s="44">
        <f>Composite!D207</f>
        <v>35.493788701617497</v>
      </c>
      <c r="F182" s="24">
        <f>Composite!E207</f>
        <v>13</v>
      </c>
      <c r="G182" s="24">
        <f>Composite!F207</f>
        <v>0</v>
      </c>
      <c r="H182" s="24">
        <f>Composite!G207</f>
        <v>0</v>
      </c>
      <c r="I182" s="24" t="str">
        <f>Composite!H207</f>
        <v>ResCACPNW</v>
      </c>
      <c r="J182" s="24">
        <f>Composite!I207</f>
        <v>-2.1813791972269616</v>
      </c>
      <c r="K182" s="24">
        <f>Composite!J207</f>
        <v>0</v>
      </c>
      <c r="L182" s="24">
        <f>Composite!K207</f>
        <v>0</v>
      </c>
      <c r="M182" s="24">
        <f>Composite!L207</f>
        <v>0</v>
      </c>
      <c r="N182" s="24">
        <f>Composite!M207</f>
        <v>0</v>
      </c>
      <c r="O182" s="24">
        <f>Composite!N207</f>
        <v>0</v>
      </c>
      <c r="P182" s="24">
        <f>Composite!O207</f>
        <v>0</v>
      </c>
      <c r="Q182" s="24">
        <f>Composite!P207</f>
        <v>0</v>
      </c>
      <c r="R182" s="24" t="str">
        <f>Composite!Q207</f>
        <v/>
      </c>
    </row>
    <row r="183" spans="1:18">
      <c r="A183" t="s">
        <v>53</v>
      </c>
      <c r="B183" t="str">
        <f t="shared" si="3"/>
        <v>Tier1_indor2_HZ3_zonlDHWkwh</v>
      </c>
      <c r="C183" s="24" t="str">
        <f>Composite!B208</f>
        <v>Tier1_indor2_HZ3_zonl</v>
      </c>
      <c r="D183" s="24" t="str">
        <f>Composite!C208</f>
        <v>DHWkwh</v>
      </c>
      <c r="E183" s="44">
        <f>Composite!D208</f>
        <v>1340.4399211661482</v>
      </c>
      <c r="F183" s="24">
        <f>Composite!E208</f>
        <v>13</v>
      </c>
      <c r="G183" s="24">
        <f>Composite!F208</f>
        <v>724.5875237038573</v>
      </c>
      <c r="H183" s="24">
        <f>Composite!G208</f>
        <v>0</v>
      </c>
      <c r="I183" s="24" t="str">
        <f>Composite!H208</f>
        <v>ResDHW</v>
      </c>
      <c r="J183" s="24">
        <f>Composite!I208</f>
        <v>-2.6596515633039379</v>
      </c>
      <c r="K183" s="24">
        <f>Composite!J208</f>
        <v>0</v>
      </c>
      <c r="L183" s="24">
        <f>Composite!K208</f>
        <v>0</v>
      </c>
      <c r="M183" s="24">
        <f>Composite!L208</f>
        <v>0</v>
      </c>
      <c r="N183" s="24">
        <f>Composite!M208</f>
        <v>0</v>
      </c>
      <c r="O183" s="24">
        <f>Composite!N208</f>
        <v>0</v>
      </c>
      <c r="P183" s="24">
        <f>Composite!O208</f>
        <v>0</v>
      </c>
      <c r="Q183" s="24">
        <f>Composite!P208</f>
        <v>0</v>
      </c>
      <c r="R183" s="24" t="str">
        <f>Composite!Q208</f>
        <v/>
      </c>
    </row>
    <row r="184" spans="1:18" ht="25.5">
      <c r="A184" t="s">
        <v>53</v>
      </c>
      <c r="B184" t="str">
        <f t="shared" si="3"/>
        <v>Tier1_indor2_HZ3_zonlHeatkwh</v>
      </c>
      <c r="C184" s="24" t="str">
        <f>Composite!B209</f>
        <v>Tier1_indor2_HZ3_zonl</v>
      </c>
      <c r="D184" s="24" t="str">
        <f>Composite!C209</f>
        <v>Heatkwh</v>
      </c>
      <c r="E184" s="44">
        <f>Composite!D209</f>
        <v>-266.68317901312065</v>
      </c>
      <c r="F184" s="24">
        <f>Composite!E209</f>
        <v>13</v>
      </c>
      <c r="G184" s="24">
        <f>Composite!F209</f>
        <v>0</v>
      </c>
      <c r="H184" s="24">
        <f>Composite!G209</f>
        <v>0</v>
      </c>
      <c r="I184" s="24" t="str">
        <f>Composite!H209</f>
        <v>ResSpHtBBZ3</v>
      </c>
      <c r="J184" s="24">
        <f>Composite!I209</f>
        <v>-2.6596515633039379</v>
      </c>
      <c r="K184" s="24">
        <f>Composite!J209</f>
        <v>0</v>
      </c>
      <c r="L184" s="24">
        <f>Composite!K209</f>
        <v>0</v>
      </c>
      <c r="M184" s="24">
        <f>Composite!L209</f>
        <v>0</v>
      </c>
      <c r="N184" s="24">
        <f>Composite!M209</f>
        <v>0</v>
      </c>
      <c r="O184" s="24">
        <f>Composite!N209</f>
        <v>0</v>
      </c>
      <c r="P184" s="24">
        <f>Composite!O209</f>
        <v>0</v>
      </c>
      <c r="Q184" s="24">
        <f>Composite!P209</f>
        <v>-0.2000865491589324</v>
      </c>
      <c r="R184" s="24" t="str">
        <f>Composite!Q209</f>
        <v>ResSpHtBBZ3</v>
      </c>
    </row>
    <row r="185" spans="1:18" ht="25.5">
      <c r="A185" t="s">
        <v>53</v>
      </c>
      <c r="B185" t="str">
        <f t="shared" si="3"/>
        <v>Tier1_indor2_HZ3_zonlCoolkwh</v>
      </c>
      <c r="C185" s="24" t="str">
        <f>Composite!B210</f>
        <v>Tier1_indor2_HZ3_zonl</v>
      </c>
      <c r="D185" s="24" t="str">
        <f>Composite!C210</f>
        <v>Coolkwh</v>
      </c>
      <c r="E185" s="44">
        <f>Composite!D210</f>
        <v>0</v>
      </c>
      <c r="F185" s="24">
        <f>Composite!E210</f>
        <v>13</v>
      </c>
      <c r="G185" s="24">
        <f>Composite!F210</f>
        <v>0</v>
      </c>
      <c r="H185" s="24">
        <f>Composite!G210</f>
        <v>0</v>
      </c>
      <c r="I185" s="24" t="str">
        <f>Composite!H210</f>
        <v>ResCACPNW</v>
      </c>
      <c r="J185" s="24">
        <f>Composite!I210</f>
        <v>-2.6596515633039379</v>
      </c>
      <c r="K185" s="24">
        <f>Composite!J210</f>
        <v>0</v>
      </c>
      <c r="L185" s="24">
        <f>Composite!K210</f>
        <v>0</v>
      </c>
      <c r="M185" s="24">
        <f>Composite!L210</f>
        <v>0</v>
      </c>
      <c r="N185" s="24">
        <f>Composite!M210</f>
        <v>0</v>
      </c>
      <c r="O185" s="24">
        <f>Composite!N210</f>
        <v>0</v>
      </c>
      <c r="P185" s="24">
        <f>Composite!O210</f>
        <v>0</v>
      </c>
      <c r="Q185" s="24">
        <f>Composite!P210</f>
        <v>0</v>
      </c>
      <c r="R185" s="24" t="str">
        <f>Composite!Q210</f>
        <v/>
      </c>
    </row>
    <row r="186" spans="1:18">
      <c r="A186" t="s">
        <v>53</v>
      </c>
      <c r="B186" t="str">
        <f t="shared" si="3"/>
        <v>Tier2_garage_HZ1DHWkwh</v>
      </c>
      <c r="C186" s="24" t="str">
        <f>Composite!B211</f>
        <v>Tier2_garage_HZ1</v>
      </c>
      <c r="D186" s="24" t="str">
        <f>Composite!C211</f>
        <v>DHWkwh</v>
      </c>
      <c r="E186" s="44">
        <f>Composite!D211</f>
        <v>203.29701772166254</v>
      </c>
      <c r="F186" s="24">
        <f>Composite!E211</f>
        <v>13</v>
      </c>
      <c r="G186" s="24">
        <f>Composite!F211</f>
        <v>1183.5005381933265</v>
      </c>
      <c r="H186" s="24">
        <f>Composite!G211</f>
        <v>0</v>
      </c>
      <c r="I186" s="24" t="str">
        <f>Composite!H211</f>
        <v>ResDHW</v>
      </c>
      <c r="J186" s="24">
        <f>Composite!I211</f>
        <v>0</v>
      </c>
      <c r="K186" s="24">
        <f>Composite!J211</f>
        <v>0</v>
      </c>
      <c r="L186" s="24">
        <f>Composite!K211</f>
        <v>0</v>
      </c>
      <c r="M186" s="24">
        <f>Composite!L211</f>
        <v>0</v>
      </c>
      <c r="N186" s="24">
        <f>Composite!M211</f>
        <v>0</v>
      </c>
      <c r="O186" s="24">
        <f>Composite!N211</f>
        <v>0</v>
      </c>
      <c r="P186" s="24">
        <f>Composite!O211</f>
        <v>0</v>
      </c>
      <c r="Q186" s="24">
        <f>Composite!P211</f>
        <v>0</v>
      </c>
      <c r="R186" s="24" t="str">
        <f>Composite!Q211</f>
        <v/>
      </c>
    </row>
    <row r="187" spans="1:18" ht="25.5">
      <c r="A187" t="s">
        <v>53</v>
      </c>
      <c r="B187" t="str">
        <f t="shared" si="3"/>
        <v>Tier2_garage_HZ1Heatkwh</v>
      </c>
      <c r="C187" s="24" t="str">
        <f>Composite!B212</f>
        <v>Tier2_garage_HZ1</v>
      </c>
      <c r="D187" s="24" t="str">
        <f>Composite!C212</f>
        <v>Heatkwh</v>
      </c>
      <c r="E187" s="44">
        <f>Composite!D212</f>
        <v>0</v>
      </c>
      <c r="F187" s="24">
        <f>Composite!E212</f>
        <v>13</v>
      </c>
      <c r="G187" s="24">
        <f>Composite!F212</f>
        <v>0</v>
      </c>
      <c r="H187" s="24">
        <f>Composite!G212</f>
        <v>0</v>
      </c>
      <c r="I187" s="24" t="str">
        <f>Composite!H212</f>
        <v>ResSpHtFAFZ1</v>
      </c>
      <c r="J187" s="24">
        <f>Composite!I212</f>
        <v>0</v>
      </c>
      <c r="K187" s="24">
        <f>Composite!J212</f>
        <v>0</v>
      </c>
      <c r="L187" s="24">
        <f>Composite!K212</f>
        <v>0</v>
      </c>
      <c r="M187" s="24">
        <f>Composite!L212</f>
        <v>0</v>
      </c>
      <c r="N187" s="24">
        <f>Composite!M212</f>
        <v>0</v>
      </c>
      <c r="O187" s="24">
        <f>Composite!N212</f>
        <v>0</v>
      </c>
      <c r="P187" s="24">
        <f>Composite!O212</f>
        <v>0</v>
      </c>
      <c r="Q187" s="24">
        <f>Composite!P212</f>
        <v>0</v>
      </c>
      <c r="R187" s="24" t="str">
        <f>Composite!Q212</f>
        <v/>
      </c>
    </row>
    <row r="188" spans="1:18" ht="25.5">
      <c r="A188" t="s">
        <v>53</v>
      </c>
      <c r="B188" t="str">
        <f t="shared" ref="B188:B239" si="4">CONCATENATE(C188,D188)</f>
        <v>Tier2_garage_HZ1Coolkwh</v>
      </c>
      <c r="C188" s="24" t="str">
        <f>Composite!B213</f>
        <v>Tier2_garage_HZ1</v>
      </c>
      <c r="D188" s="24" t="str">
        <f>Composite!C213</f>
        <v>Coolkwh</v>
      </c>
      <c r="E188" s="44">
        <f>Composite!D213</f>
        <v>0</v>
      </c>
      <c r="F188" s="24">
        <f>Composite!E213</f>
        <v>13</v>
      </c>
      <c r="G188" s="24">
        <f>Composite!F213</f>
        <v>0</v>
      </c>
      <c r="H188" s="24">
        <f>Composite!G213</f>
        <v>0</v>
      </c>
      <c r="I188" s="24" t="str">
        <f>Composite!H213</f>
        <v>ResCACPNW</v>
      </c>
      <c r="J188" s="24">
        <f>Composite!I213</f>
        <v>0</v>
      </c>
      <c r="K188" s="24">
        <f>Composite!J213</f>
        <v>0</v>
      </c>
      <c r="L188" s="24">
        <f>Composite!K213</f>
        <v>0</v>
      </c>
      <c r="M188" s="24">
        <f>Composite!L213</f>
        <v>0</v>
      </c>
      <c r="N188" s="24">
        <f>Composite!M213</f>
        <v>0</v>
      </c>
      <c r="O188" s="24">
        <f>Composite!N213</f>
        <v>0</v>
      </c>
      <c r="P188" s="24">
        <f>Composite!O213</f>
        <v>0</v>
      </c>
      <c r="Q188" s="24">
        <f>Composite!P213</f>
        <v>0</v>
      </c>
      <c r="R188" s="24" t="str">
        <f>Composite!Q213</f>
        <v/>
      </c>
    </row>
    <row r="189" spans="1:18">
      <c r="A189" t="s">
        <v>53</v>
      </c>
      <c r="B189" t="str">
        <f t="shared" si="4"/>
        <v>Tier2_garage_HZ2DHWkwh</v>
      </c>
      <c r="C189" s="24" t="str">
        <f>Composite!B214</f>
        <v>Tier2_garage_HZ2</v>
      </c>
      <c r="D189" s="24" t="str">
        <f>Composite!C214</f>
        <v>DHWkwh</v>
      </c>
      <c r="E189" s="44">
        <f>Composite!D214</f>
        <v>405.41692570786734</v>
      </c>
      <c r="F189" s="24">
        <f>Composite!E214</f>
        <v>13</v>
      </c>
      <c r="G189" s="24">
        <f>Composite!F214</f>
        <v>1183.5005381933265</v>
      </c>
      <c r="H189" s="24">
        <f>Composite!G214</f>
        <v>0</v>
      </c>
      <c r="I189" s="24" t="str">
        <f>Composite!H214</f>
        <v>ResDHW</v>
      </c>
      <c r="J189" s="24">
        <f>Composite!I214</f>
        <v>0</v>
      </c>
      <c r="K189" s="24">
        <f>Composite!J214</f>
        <v>0</v>
      </c>
      <c r="L189" s="24">
        <f>Composite!K214</f>
        <v>0</v>
      </c>
      <c r="M189" s="24">
        <f>Composite!L214</f>
        <v>0</v>
      </c>
      <c r="N189" s="24">
        <f>Composite!M214</f>
        <v>0</v>
      </c>
      <c r="O189" s="24">
        <f>Composite!N214</f>
        <v>0</v>
      </c>
      <c r="P189" s="24">
        <f>Composite!O214</f>
        <v>0</v>
      </c>
      <c r="Q189" s="24">
        <f>Composite!P214</f>
        <v>0</v>
      </c>
      <c r="R189" s="24" t="str">
        <f>Composite!Q214</f>
        <v/>
      </c>
    </row>
    <row r="190" spans="1:18" ht="25.5">
      <c r="A190" t="s">
        <v>53</v>
      </c>
      <c r="B190" t="str">
        <f t="shared" si="4"/>
        <v>Tier2_garage_HZ2Heatkwh</v>
      </c>
      <c r="C190" s="24" t="str">
        <f>Composite!B215</f>
        <v>Tier2_garage_HZ2</v>
      </c>
      <c r="D190" s="24" t="str">
        <f>Composite!C215</f>
        <v>Heatkwh</v>
      </c>
      <c r="E190" s="44">
        <f>Composite!D215</f>
        <v>0</v>
      </c>
      <c r="F190" s="24">
        <f>Composite!E215</f>
        <v>13</v>
      </c>
      <c r="G190" s="24">
        <f>Composite!F215</f>
        <v>0</v>
      </c>
      <c r="H190" s="24">
        <f>Composite!G215</f>
        <v>0</v>
      </c>
      <c r="I190" s="24" t="str">
        <f>Composite!H215</f>
        <v>ResSpHtFAFZ2</v>
      </c>
      <c r="J190" s="24">
        <f>Composite!I215</f>
        <v>0</v>
      </c>
      <c r="K190" s="24">
        <f>Composite!J215</f>
        <v>0</v>
      </c>
      <c r="L190" s="24">
        <f>Composite!K215</f>
        <v>0</v>
      </c>
      <c r="M190" s="24">
        <f>Composite!L215</f>
        <v>0</v>
      </c>
      <c r="N190" s="24">
        <f>Composite!M215</f>
        <v>0</v>
      </c>
      <c r="O190" s="24">
        <f>Composite!N215</f>
        <v>0</v>
      </c>
      <c r="P190" s="24">
        <f>Composite!O215</f>
        <v>0</v>
      </c>
      <c r="Q190" s="24">
        <f>Composite!P215</f>
        <v>0</v>
      </c>
      <c r="R190" s="24" t="str">
        <f>Composite!Q215</f>
        <v/>
      </c>
    </row>
    <row r="191" spans="1:18" ht="25.5">
      <c r="A191" t="s">
        <v>53</v>
      </c>
      <c r="B191" t="str">
        <f t="shared" si="4"/>
        <v>Tier2_garage_HZ2Coolkwh</v>
      </c>
      <c r="C191" s="24" t="str">
        <f>Composite!B216</f>
        <v>Tier2_garage_HZ2</v>
      </c>
      <c r="D191" s="24" t="str">
        <f>Composite!C216</f>
        <v>Coolkwh</v>
      </c>
      <c r="E191" s="44">
        <f>Composite!D216</f>
        <v>0</v>
      </c>
      <c r="F191" s="24">
        <f>Composite!E216</f>
        <v>13</v>
      </c>
      <c r="G191" s="24">
        <f>Composite!F216</f>
        <v>0</v>
      </c>
      <c r="H191" s="24">
        <f>Composite!G216</f>
        <v>0</v>
      </c>
      <c r="I191" s="24" t="str">
        <f>Composite!H216</f>
        <v>ResCACPNW</v>
      </c>
      <c r="J191" s="24">
        <f>Composite!I216</f>
        <v>0</v>
      </c>
      <c r="K191" s="24">
        <f>Composite!J216</f>
        <v>0</v>
      </c>
      <c r="L191" s="24">
        <f>Composite!K216</f>
        <v>0</v>
      </c>
      <c r="M191" s="24">
        <f>Composite!L216</f>
        <v>0</v>
      </c>
      <c r="N191" s="24">
        <f>Composite!M216</f>
        <v>0</v>
      </c>
      <c r="O191" s="24">
        <f>Composite!N216</f>
        <v>0</v>
      </c>
      <c r="P191" s="24">
        <f>Composite!O216</f>
        <v>0</v>
      </c>
      <c r="Q191" s="24">
        <f>Composite!P216</f>
        <v>0</v>
      </c>
      <c r="R191" s="24" t="str">
        <f>Composite!Q216</f>
        <v/>
      </c>
    </row>
    <row r="192" spans="1:18">
      <c r="A192" t="s">
        <v>53</v>
      </c>
      <c r="B192" t="str">
        <f t="shared" si="4"/>
        <v>Tier2_garage_HZ3DHWkwh</v>
      </c>
      <c r="C192" s="24" t="str">
        <f>Composite!B217</f>
        <v>Tier2_garage_HZ3</v>
      </c>
      <c r="D192" s="24" t="str">
        <f>Composite!C217</f>
        <v>DHWkwh</v>
      </c>
      <c r="E192" s="44">
        <f>Composite!D217</f>
        <v>579.20238702396148</v>
      </c>
      <c r="F192" s="24">
        <f>Composite!E217</f>
        <v>13</v>
      </c>
      <c r="G192" s="24">
        <f>Composite!F217</f>
        <v>1183.5005381933265</v>
      </c>
      <c r="H192" s="24">
        <f>Composite!G217</f>
        <v>0</v>
      </c>
      <c r="I192" s="24" t="str">
        <f>Composite!H217</f>
        <v>ResDHW</v>
      </c>
      <c r="J192" s="24">
        <f>Composite!I217</f>
        <v>0</v>
      </c>
      <c r="K192" s="24">
        <f>Composite!J217</f>
        <v>0</v>
      </c>
      <c r="L192" s="24">
        <f>Composite!K217</f>
        <v>0</v>
      </c>
      <c r="M192" s="24">
        <f>Composite!L217</f>
        <v>0</v>
      </c>
      <c r="N192" s="24">
        <f>Composite!M217</f>
        <v>0</v>
      </c>
      <c r="O192" s="24">
        <f>Composite!N217</f>
        <v>0</v>
      </c>
      <c r="P192" s="24">
        <f>Composite!O217</f>
        <v>0</v>
      </c>
      <c r="Q192" s="24">
        <f>Composite!P217</f>
        <v>0</v>
      </c>
      <c r="R192" s="24" t="str">
        <f>Composite!Q217</f>
        <v/>
      </c>
    </row>
    <row r="193" spans="1:18" ht="25.5">
      <c r="A193" t="s">
        <v>53</v>
      </c>
      <c r="B193" t="str">
        <f t="shared" si="4"/>
        <v>Tier2_garage_HZ3Heatkwh</v>
      </c>
      <c r="C193" s="24" t="str">
        <f>Composite!B218</f>
        <v>Tier2_garage_HZ3</v>
      </c>
      <c r="D193" s="24" t="str">
        <f>Composite!C218</f>
        <v>Heatkwh</v>
      </c>
      <c r="E193" s="44">
        <f>Composite!D218</f>
        <v>0</v>
      </c>
      <c r="F193" s="24">
        <f>Composite!E218</f>
        <v>13</v>
      </c>
      <c r="G193" s="24">
        <f>Composite!F218</f>
        <v>0</v>
      </c>
      <c r="H193" s="24">
        <f>Composite!G218</f>
        <v>0</v>
      </c>
      <c r="I193" s="24" t="str">
        <f>Composite!H218</f>
        <v>ResSpHtFAFZ3</v>
      </c>
      <c r="J193" s="24">
        <f>Composite!I218</f>
        <v>0</v>
      </c>
      <c r="K193" s="24">
        <f>Composite!J218</f>
        <v>0</v>
      </c>
      <c r="L193" s="24">
        <f>Composite!K218</f>
        <v>0</v>
      </c>
      <c r="M193" s="24">
        <f>Composite!L218</f>
        <v>0</v>
      </c>
      <c r="N193" s="24">
        <f>Composite!M218</f>
        <v>0</v>
      </c>
      <c r="O193" s="24">
        <f>Composite!N218</f>
        <v>0</v>
      </c>
      <c r="P193" s="24">
        <f>Composite!O218</f>
        <v>0</v>
      </c>
      <c r="Q193" s="24">
        <f>Composite!P218</f>
        <v>0</v>
      </c>
      <c r="R193" s="24" t="str">
        <f>Composite!Q218</f>
        <v/>
      </c>
    </row>
    <row r="194" spans="1:18" ht="25.5">
      <c r="A194" t="s">
        <v>53</v>
      </c>
      <c r="B194" t="str">
        <f t="shared" si="4"/>
        <v>Tier2_garage_HZ3Coolkwh</v>
      </c>
      <c r="C194" s="24" t="str">
        <f>Composite!B219</f>
        <v>Tier2_garage_HZ3</v>
      </c>
      <c r="D194" s="24" t="str">
        <f>Composite!C219</f>
        <v>Coolkwh</v>
      </c>
      <c r="E194" s="44">
        <f>Composite!D219</f>
        <v>0</v>
      </c>
      <c r="F194" s="24">
        <f>Composite!E219</f>
        <v>13</v>
      </c>
      <c r="G194" s="24">
        <f>Composite!F219</f>
        <v>0</v>
      </c>
      <c r="H194" s="24">
        <f>Composite!G219</f>
        <v>0</v>
      </c>
      <c r="I194" s="24" t="str">
        <f>Composite!H219</f>
        <v>ResCACPNW</v>
      </c>
      <c r="J194" s="24">
        <f>Composite!I219</f>
        <v>0</v>
      </c>
      <c r="K194" s="24">
        <f>Composite!J219</f>
        <v>0</v>
      </c>
      <c r="L194" s="24">
        <f>Composite!K219</f>
        <v>0</v>
      </c>
      <c r="M194" s="24">
        <f>Composite!L219</f>
        <v>0</v>
      </c>
      <c r="N194" s="24">
        <f>Composite!M219</f>
        <v>0</v>
      </c>
      <c r="O194" s="24">
        <f>Composite!N219</f>
        <v>0</v>
      </c>
      <c r="P194" s="24">
        <f>Composite!O219</f>
        <v>0</v>
      </c>
      <c r="Q194" s="24">
        <f>Composite!P219</f>
        <v>0</v>
      </c>
      <c r="R194" s="24" t="str">
        <f>Composite!Q219</f>
        <v/>
      </c>
    </row>
    <row r="195" spans="1:18">
      <c r="A195" t="s">
        <v>53</v>
      </c>
      <c r="B195" t="str">
        <f t="shared" si="4"/>
        <v>Tier2_indor2_HZ1_gfncDHWkwh</v>
      </c>
      <c r="C195" s="24" t="str">
        <f>Composite!B229</f>
        <v>Tier2_indor2_HZ1_gfnc</v>
      </c>
      <c r="D195" s="24" t="str">
        <f>Composite!C229</f>
        <v>DHWkwh</v>
      </c>
      <c r="E195" s="44">
        <f>Composite!D229</f>
        <v>80.224837589874369</v>
      </c>
      <c r="F195" s="24">
        <f>Composite!E229</f>
        <v>13</v>
      </c>
      <c r="G195" s="24">
        <f>Composite!F229</f>
        <v>1183.5005381933265</v>
      </c>
      <c r="H195" s="24">
        <f>Composite!G229</f>
        <v>0</v>
      </c>
      <c r="I195" s="24" t="str">
        <f>Composite!H229</f>
        <v>ResDHW</v>
      </c>
      <c r="J195" s="24">
        <f>Composite!I229</f>
        <v>-0.88049142216360199</v>
      </c>
      <c r="K195" s="24">
        <f>Composite!J229</f>
        <v>0</v>
      </c>
      <c r="L195" s="24">
        <f>Composite!K229</f>
        <v>0</v>
      </c>
      <c r="M195" s="24">
        <f>Composite!L229</f>
        <v>0</v>
      </c>
      <c r="N195" s="24">
        <f>Composite!M229</f>
        <v>0</v>
      </c>
      <c r="O195" s="24">
        <f>Composite!N229</f>
        <v>0</v>
      </c>
      <c r="P195" s="24">
        <f>Composite!O229</f>
        <v>0</v>
      </c>
      <c r="Q195" s="24">
        <f>Composite!P229</f>
        <v>0</v>
      </c>
      <c r="R195" s="24" t="str">
        <f>Composite!Q229</f>
        <v/>
      </c>
    </row>
    <row r="196" spans="1:18" ht="25.5">
      <c r="A196" t="s">
        <v>53</v>
      </c>
      <c r="B196" t="str">
        <f t="shared" si="4"/>
        <v>Tier2_indor2_HZ1_gfncHeatkwh</v>
      </c>
      <c r="C196" s="24" t="str">
        <f>Composite!B230</f>
        <v>Tier2_indor2_HZ1_gfnc</v>
      </c>
      <c r="D196" s="24" t="str">
        <f>Composite!C230</f>
        <v>Heatkwh</v>
      </c>
      <c r="E196" s="44">
        <f>Composite!D230</f>
        <v>-2.2939692482349798</v>
      </c>
      <c r="F196" s="24">
        <f>Composite!E230</f>
        <v>13</v>
      </c>
      <c r="G196" s="24">
        <f>Composite!F230</f>
        <v>0</v>
      </c>
      <c r="H196" s="24">
        <f>Composite!G230</f>
        <v>0</v>
      </c>
      <c r="I196" s="24" t="str">
        <f>Composite!H230</f>
        <v>ResSpHtFAFZ1</v>
      </c>
      <c r="J196" s="24">
        <f>Composite!I230</f>
        <v>-0.88049142216360199</v>
      </c>
      <c r="K196" s="24">
        <f>Composite!J230</f>
        <v>0</v>
      </c>
      <c r="L196" s="24">
        <f>Composite!K230</f>
        <v>0</v>
      </c>
      <c r="M196" s="24">
        <f>Composite!L230</f>
        <v>0</v>
      </c>
      <c r="N196" s="24">
        <f>Composite!M230</f>
        <v>0</v>
      </c>
      <c r="O196" s="24">
        <f>Composite!N230</f>
        <v>0</v>
      </c>
      <c r="P196" s="24">
        <f>Composite!O230</f>
        <v>0</v>
      </c>
      <c r="Q196" s="24">
        <f>Composite!P230</f>
        <v>-3.4290251950462398</v>
      </c>
      <c r="R196" s="24" t="str">
        <f>Composite!Q230</f>
        <v>ResSpHtFAFZ1</v>
      </c>
    </row>
    <row r="197" spans="1:18" ht="25.5">
      <c r="A197" t="s">
        <v>53</v>
      </c>
      <c r="B197" t="str">
        <f t="shared" si="4"/>
        <v>Tier2_indor2_HZ1_gfncCoolkwh</v>
      </c>
      <c r="C197" s="24" t="str">
        <f>Composite!B231</f>
        <v>Tier2_indor2_HZ1_gfnc</v>
      </c>
      <c r="D197" s="24" t="str">
        <f>Composite!C231</f>
        <v>Coolkwh</v>
      </c>
      <c r="E197" s="44">
        <f>Composite!D231</f>
        <v>0</v>
      </c>
      <c r="F197" s="24">
        <f>Composite!E231</f>
        <v>13</v>
      </c>
      <c r="G197" s="24">
        <f>Composite!F231</f>
        <v>0</v>
      </c>
      <c r="H197" s="24">
        <f>Composite!G231</f>
        <v>0</v>
      </c>
      <c r="I197" s="24" t="str">
        <f>Composite!H231</f>
        <v>ResCACPNW</v>
      </c>
      <c r="J197" s="24">
        <f>Composite!I231</f>
        <v>-0.88049142216360199</v>
      </c>
      <c r="K197" s="24">
        <f>Composite!J231</f>
        <v>0</v>
      </c>
      <c r="L197" s="24">
        <f>Composite!K231</f>
        <v>0</v>
      </c>
      <c r="M197" s="24">
        <f>Composite!L231</f>
        <v>0</v>
      </c>
      <c r="N197" s="24">
        <f>Composite!M231</f>
        <v>0</v>
      </c>
      <c r="O197" s="24">
        <f>Composite!N231</f>
        <v>0</v>
      </c>
      <c r="P197" s="24">
        <f>Composite!O231</f>
        <v>0</v>
      </c>
      <c r="Q197" s="24">
        <f>Composite!P231</f>
        <v>0</v>
      </c>
      <c r="R197" s="24" t="str">
        <f>Composite!Q231</f>
        <v/>
      </c>
    </row>
    <row r="198" spans="1:18">
      <c r="A198" t="s">
        <v>53</v>
      </c>
      <c r="B198" t="str">
        <f t="shared" si="4"/>
        <v>Tier2_indor2_HZ1_gfacDHWkwh</v>
      </c>
      <c r="C198" s="24" t="str">
        <f>Composite!B232</f>
        <v>Tier2_indor2_HZ1_gfac</v>
      </c>
      <c r="D198" s="24" t="str">
        <f>Composite!C232</f>
        <v>DHWkwh</v>
      </c>
      <c r="E198" s="44">
        <f>Composite!D232</f>
        <v>84.67012915959026</v>
      </c>
      <c r="F198" s="24">
        <f>Composite!E232</f>
        <v>13</v>
      </c>
      <c r="G198" s="24">
        <f>Composite!F232</f>
        <v>1183.5005381933265</v>
      </c>
      <c r="H198" s="24">
        <f>Composite!G232</f>
        <v>0</v>
      </c>
      <c r="I198" s="24" t="str">
        <f>Composite!H232</f>
        <v>ResDHW</v>
      </c>
      <c r="J198" s="24">
        <f>Composite!I232</f>
        <v>-0.89161693639822914</v>
      </c>
      <c r="K198" s="24">
        <f>Composite!J232</f>
        <v>0</v>
      </c>
      <c r="L198" s="24">
        <f>Composite!K232</f>
        <v>0</v>
      </c>
      <c r="M198" s="24">
        <f>Composite!L232</f>
        <v>0</v>
      </c>
      <c r="N198" s="24">
        <f>Composite!M232</f>
        <v>0</v>
      </c>
      <c r="O198" s="24">
        <f>Composite!N232</f>
        <v>0</v>
      </c>
      <c r="P198" s="24">
        <f>Composite!O232</f>
        <v>0</v>
      </c>
      <c r="Q198" s="24">
        <f>Composite!P232</f>
        <v>0</v>
      </c>
      <c r="R198" s="24" t="str">
        <f>Composite!Q232</f>
        <v/>
      </c>
    </row>
    <row r="199" spans="1:18" ht="25.5">
      <c r="A199" t="s">
        <v>53</v>
      </c>
      <c r="B199" t="str">
        <f t="shared" si="4"/>
        <v>Tier2_indor2_HZ1_gfacHeatkwh</v>
      </c>
      <c r="C199" s="24" t="str">
        <f>Composite!B233</f>
        <v>Tier2_indor2_HZ1_gfac</v>
      </c>
      <c r="D199" s="24" t="str">
        <f>Composite!C233</f>
        <v>Heatkwh</v>
      </c>
      <c r="E199" s="44">
        <f>Composite!D233</f>
        <v>-2.5364759144830025</v>
      </c>
      <c r="F199" s="24">
        <f>Composite!E233</f>
        <v>13</v>
      </c>
      <c r="G199" s="24">
        <f>Composite!F233</f>
        <v>0</v>
      </c>
      <c r="H199" s="24">
        <f>Composite!G233</f>
        <v>0</v>
      </c>
      <c r="I199" s="24" t="str">
        <f>Composite!H233</f>
        <v>ResSpHtFAFZ1</v>
      </c>
      <c r="J199" s="24">
        <f>Composite!I233</f>
        <v>-0.89161693639822914</v>
      </c>
      <c r="K199" s="24">
        <f>Composite!J233</f>
        <v>0</v>
      </c>
      <c r="L199" s="24">
        <f>Composite!K233</f>
        <v>0</v>
      </c>
      <c r="M199" s="24">
        <f>Composite!L233</f>
        <v>0</v>
      </c>
      <c r="N199" s="24">
        <f>Composite!M233</f>
        <v>0</v>
      </c>
      <c r="O199" s="24">
        <f>Composite!N233</f>
        <v>0</v>
      </c>
      <c r="P199" s="24">
        <f>Composite!O233</f>
        <v>0</v>
      </c>
      <c r="Q199" s="24">
        <f>Composite!P233</f>
        <v>-3.4642029367382037</v>
      </c>
      <c r="R199" s="24" t="str">
        <f>Composite!Q233</f>
        <v>ResSpHtFAFZ1</v>
      </c>
    </row>
    <row r="200" spans="1:18" ht="25.5">
      <c r="A200" t="s">
        <v>53</v>
      </c>
      <c r="B200" t="str">
        <f t="shared" si="4"/>
        <v>Tier2_indor2_HZ1_gfacCoolkwh</v>
      </c>
      <c r="C200" s="24" t="str">
        <f>Composite!B234</f>
        <v>Tier2_indor2_HZ1_gfac</v>
      </c>
      <c r="D200" s="24" t="str">
        <f>Composite!C234</f>
        <v>Coolkwh</v>
      </c>
      <c r="E200" s="44">
        <f>Composite!D234</f>
        <v>-5.1204370251241045</v>
      </c>
      <c r="F200" s="24">
        <f>Composite!E234</f>
        <v>13</v>
      </c>
      <c r="G200" s="24">
        <f>Composite!F234</f>
        <v>0</v>
      </c>
      <c r="H200" s="24">
        <f>Composite!G234</f>
        <v>0</v>
      </c>
      <c r="I200" s="24" t="str">
        <f>Composite!H234</f>
        <v>ResCACPNW</v>
      </c>
      <c r="J200" s="24">
        <f>Composite!I234</f>
        <v>-0.89161693639822914</v>
      </c>
      <c r="K200" s="24">
        <f>Composite!J234</f>
        <v>0</v>
      </c>
      <c r="L200" s="24">
        <f>Composite!K234</f>
        <v>0</v>
      </c>
      <c r="M200" s="24">
        <f>Composite!L234</f>
        <v>0</v>
      </c>
      <c r="N200" s="24">
        <f>Composite!M234</f>
        <v>0</v>
      </c>
      <c r="O200" s="24">
        <f>Composite!N234</f>
        <v>0</v>
      </c>
      <c r="P200" s="24">
        <f>Composite!O234</f>
        <v>0</v>
      </c>
      <c r="Q200" s="24">
        <f>Composite!P234</f>
        <v>0</v>
      </c>
      <c r="R200" s="24" t="str">
        <f>Composite!Q234</f>
        <v/>
      </c>
    </row>
    <row r="201" spans="1:18">
      <c r="A201" t="s">
        <v>53</v>
      </c>
      <c r="B201" t="str">
        <f t="shared" si="4"/>
        <v>Tier2_indor2_HZ1_efafDHWkwh</v>
      </c>
      <c r="C201" s="24" t="str">
        <f>Composite!B235</f>
        <v>Tier2_indor2_HZ1_efaf</v>
      </c>
      <c r="D201" s="24" t="str">
        <f>Composite!C235</f>
        <v>DHWkwh</v>
      </c>
      <c r="E201" s="44">
        <f>Composite!D235</f>
        <v>80.224837589874369</v>
      </c>
      <c r="F201" s="24">
        <f>Composite!E235</f>
        <v>13</v>
      </c>
      <c r="G201" s="24">
        <f>Composite!F235</f>
        <v>1183.5005381933265</v>
      </c>
      <c r="H201" s="24">
        <f>Composite!G235</f>
        <v>0</v>
      </c>
      <c r="I201" s="24" t="str">
        <f>Composite!H235</f>
        <v>ResDHW</v>
      </c>
      <c r="J201" s="24">
        <f>Composite!I235</f>
        <v>-0.62059258441419862</v>
      </c>
      <c r="K201" s="24">
        <f>Composite!J235</f>
        <v>0</v>
      </c>
      <c r="L201" s="24">
        <f>Composite!K235</f>
        <v>0</v>
      </c>
      <c r="M201" s="24">
        <f>Composite!L235</f>
        <v>0</v>
      </c>
      <c r="N201" s="24">
        <f>Composite!M235</f>
        <v>0</v>
      </c>
      <c r="O201" s="24">
        <f>Composite!N235</f>
        <v>0</v>
      </c>
      <c r="P201" s="24">
        <f>Composite!O235</f>
        <v>0</v>
      </c>
      <c r="Q201" s="24">
        <f>Composite!P235</f>
        <v>0</v>
      </c>
      <c r="R201" s="24" t="str">
        <f>Composite!Q235</f>
        <v/>
      </c>
    </row>
    <row r="202" spans="1:18" ht="25.5">
      <c r="A202" t="s">
        <v>53</v>
      </c>
      <c r="B202" t="str">
        <f t="shared" si="4"/>
        <v>Tier2_indor2_HZ1_efafHeatkwh</v>
      </c>
      <c r="C202" s="24" t="str">
        <f>Composite!B236</f>
        <v>Tier2_indor2_HZ1_efaf</v>
      </c>
      <c r="D202" s="24" t="str">
        <f>Composite!C236</f>
        <v>Heatkwh</v>
      </c>
      <c r="E202" s="44">
        <f>Composite!D236</f>
        <v>-61.123626427883266</v>
      </c>
      <c r="F202" s="24">
        <f>Composite!E236</f>
        <v>13</v>
      </c>
      <c r="G202" s="24">
        <f>Composite!F236</f>
        <v>0</v>
      </c>
      <c r="H202" s="24">
        <f>Composite!G236</f>
        <v>0</v>
      </c>
      <c r="I202" s="24" t="str">
        <f>Composite!H236</f>
        <v>ResSpHtFAFZ1</v>
      </c>
      <c r="J202" s="24">
        <f>Composite!I236</f>
        <v>-0.62059258441419862</v>
      </c>
      <c r="K202" s="24">
        <f>Composite!J236</f>
        <v>0</v>
      </c>
      <c r="L202" s="24">
        <f>Composite!K236</f>
        <v>0</v>
      </c>
      <c r="M202" s="24">
        <f>Composite!L236</f>
        <v>0</v>
      </c>
      <c r="N202" s="24">
        <f>Composite!M236</f>
        <v>0</v>
      </c>
      <c r="O202" s="24">
        <f>Composite!N236</f>
        <v>0</v>
      </c>
      <c r="P202" s="24">
        <f>Composite!O236</f>
        <v>0</v>
      </c>
      <c r="Q202" s="24">
        <f>Composite!P236</f>
        <v>-0.14552869424772896</v>
      </c>
      <c r="R202" s="24" t="str">
        <f>Composite!Q236</f>
        <v>ResSpHtFAFZ1</v>
      </c>
    </row>
    <row r="203" spans="1:18" ht="25.5">
      <c r="A203" t="s">
        <v>53</v>
      </c>
      <c r="B203" t="str">
        <f t="shared" si="4"/>
        <v>Tier2_indor2_HZ1_efafCoolkwh</v>
      </c>
      <c r="C203" s="24" t="str">
        <f>Composite!B237</f>
        <v>Tier2_indor2_HZ1_efaf</v>
      </c>
      <c r="D203" s="24" t="str">
        <f>Composite!C237</f>
        <v>Coolkwh</v>
      </c>
      <c r="E203" s="44">
        <f>Composite!D237</f>
        <v>0</v>
      </c>
      <c r="F203" s="24">
        <f>Composite!E237</f>
        <v>13</v>
      </c>
      <c r="G203" s="24">
        <f>Composite!F237</f>
        <v>0</v>
      </c>
      <c r="H203" s="24">
        <f>Composite!G237</f>
        <v>0</v>
      </c>
      <c r="I203" s="24" t="str">
        <f>Composite!H237</f>
        <v>ResCACPNW</v>
      </c>
      <c r="J203" s="24">
        <f>Composite!I237</f>
        <v>-0.62059258441419862</v>
      </c>
      <c r="K203" s="24">
        <f>Composite!J237</f>
        <v>0</v>
      </c>
      <c r="L203" s="24">
        <f>Composite!K237</f>
        <v>0</v>
      </c>
      <c r="M203" s="24">
        <f>Composite!L237</f>
        <v>0</v>
      </c>
      <c r="N203" s="24">
        <f>Composite!M237</f>
        <v>0</v>
      </c>
      <c r="O203" s="24">
        <f>Composite!N237</f>
        <v>0</v>
      </c>
      <c r="P203" s="24">
        <f>Composite!O237</f>
        <v>0</v>
      </c>
      <c r="Q203" s="24">
        <f>Composite!P237</f>
        <v>0</v>
      </c>
      <c r="R203" s="24" t="str">
        <f>Composite!Q237</f>
        <v/>
      </c>
    </row>
    <row r="204" spans="1:18">
      <c r="A204" t="s">
        <v>53</v>
      </c>
      <c r="B204" t="str">
        <f t="shared" si="4"/>
        <v>Tier2_indor2_HZ1_hp85DHWkwh</v>
      </c>
      <c r="C204" s="24" t="str">
        <f>Composite!B238</f>
        <v>Tier2_indor2_HZ1_hp85</v>
      </c>
      <c r="D204" s="24" t="str">
        <f>Composite!C238</f>
        <v>DHWkwh</v>
      </c>
      <c r="E204" s="44">
        <f>Composite!D238</f>
        <v>84.660816873848034</v>
      </c>
      <c r="F204" s="24">
        <f>Composite!E238</f>
        <v>13</v>
      </c>
      <c r="G204" s="24">
        <f>Composite!F238</f>
        <v>1183.5005381933265</v>
      </c>
      <c r="H204" s="24">
        <f>Composite!G238</f>
        <v>0</v>
      </c>
      <c r="I204" s="24" t="str">
        <f>Composite!H238</f>
        <v>ResDHW</v>
      </c>
      <c r="J204" s="24">
        <f>Composite!I238</f>
        <v>-0.34769207685672532</v>
      </c>
      <c r="K204" s="24">
        <f>Composite!J238</f>
        <v>0</v>
      </c>
      <c r="L204" s="24">
        <f>Composite!K238</f>
        <v>0</v>
      </c>
      <c r="M204" s="24">
        <f>Composite!L238</f>
        <v>0</v>
      </c>
      <c r="N204" s="24">
        <f>Composite!M238</f>
        <v>0</v>
      </c>
      <c r="O204" s="24">
        <f>Composite!N238</f>
        <v>0</v>
      </c>
      <c r="P204" s="24">
        <f>Composite!O238</f>
        <v>0</v>
      </c>
      <c r="Q204" s="24">
        <f>Composite!P238</f>
        <v>0</v>
      </c>
      <c r="R204" s="24" t="str">
        <f>Composite!Q238</f>
        <v/>
      </c>
    </row>
    <row r="205" spans="1:18" ht="25.5">
      <c r="A205" t="s">
        <v>53</v>
      </c>
      <c r="B205" t="str">
        <f t="shared" si="4"/>
        <v>Tier2_indor2_HZ1_hp85Heatkwh</v>
      </c>
      <c r="C205" s="24" t="str">
        <f>Composite!B239</f>
        <v>Tier2_indor2_HZ1_hp85</v>
      </c>
      <c r="D205" s="24" t="str">
        <f>Composite!C239</f>
        <v>Heatkwh</v>
      </c>
      <c r="E205" s="44">
        <f>Composite!D239</f>
        <v>-34.245012189093615</v>
      </c>
      <c r="F205" s="24">
        <f>Composite!E239</f>
        <v>13</v>
      </c>
      <c r="G205" s="24">
        <f>Composite!F239</f>
        <v>0</v>
      </c>
      <c r="H205" s="24">
        <f>Composite!G239</f>
        <v>0</v>
      </c>
      <c r="I205" s="24" t="str">
        <f>Composite!H239</f>
        <v>ResSpHtHPZ1</v>
      </c>
      <c r="J205" s="24">
        <f>Composite!I239</f>
        <v>-0.34769207685672532</v>
      </c>
      <c r="K205" s="24">
        <f>Composite!J239</f>
        <v>0</v>
      </c>
      <c r="L205" s="24">
        <f>Composite!K239</f>
        <v>0</v>
      </c>
      <c r="M205" s="24">
        <f>Composite!L239</f>
        <v>0</v>
      </c>
      <c r="N205" s="24">
        <f>Composite!M239</f>
        <v>0</v>
      </c>
      <c r="O205" s="24">
        <f>Composite!N239</f>
        <v>0</v>
      </c>
      <c r="P205" s="24">
        <f>Composite!O239</f>
        <v>0</v>
      </c>
      <c r="Q205" s="24">
        <f>Composite!P239</f>
        <v>-8.1533642547473806E-2</v>
      </c>
      <c r="R205" s="24" t="str">
        <f>Composite!Q239</f>
        <v>ResSpHtHPZ1</v>
      </c>
    </row>
    <row r="206" spans="1:18" ht="25.5">
      <c r="A206" t="s">
        <v>53</v>
      </c>
      <c r="B206" t="str">
        <f t="shared" si="4"/>
        <v>Tier2_indor2_HZ1_hp85Coolkwh</v>
      </c>
      <c r="C206" s="24" t="str">
        <f>Composite!B240</f>
        <v>Tier2_indor2_HZ1_hp85</v>
      </c>
      <c r="D206" s="24" t="str">
        <f>Composite!C240</f>
        <v>Coolkwh</v>
      </c>
      <c r="E206" s="44">
        <f>Composite!D240</f>
        <v>-5.1307843027512732</v>
      </c>
      <c r="F206" s="24">
        <f>Composite!E240</f>
        <v>13</v>
      </c>
      <c r="G206" s="24">
        <f>Composite!F240</f>
        <v>0</v>
      </c>
      <c r="H206" s="24">
        <f>Composite!G240</f>
        <v>0</v>
      </c>
      <c r="I206" s="24" t="str">
        <f>Composite!H240</f>
        <v>ResCACPNW</v>
      </c>
      <c r="J206" s="24">
        <f>Composite!I240</f>
        <v>-0.34769207685672532</v>
      </c>
      <c r="K206" s="24">
        <f>Composite!J240</f>
        <v>0</v>
      </c>
      <c r="L206" s="24">
        <f>Composite!K240</f>
        <v>0</v>
      </c>
      <c r="M206" s="24">
        <f>Composite!L240</f>
        <v>0</v>
      </c>
      <c r="N206" s="24">
        <f>Composite!M240</f>
        <v>0</v>
      </c>
      <c r="O206" s="24">
        <f>Composite!N240</f>
        <v>0</v>
      </c>
      <c r="P206" s="24">
        <f>Composite!O240</f>
        <v>0</v>
      </c>
      <c r="Q206" s="24">
        <f>Composite!P240</f>
        <v>0</v>
      </c>
      <c r="R206" s="24" t="str">
        <f>Composite!Q240</f>
        <v/>
      </c>
    </row>
    <row r="207" spans="1:18">
      <c r="A207" t="s">
        <v>53</v>
      </c>
      <c r="B207" t="str">
        <f t="shared" si="4"/>
        <v>Tier2_indor2_HZ1_zonlDHWkwh</v>
      </c>
      <c r="C207" s="24" t="str">
        <f>Composite!B241</f>
        <v>Tier2_indor2_HZ1_zonl</v>
      </c>
      <c r="D207" s="24" t="str">
        <f>Composite!C241</f>
        <v>DHWkwh</v>
      </c>
      <c r="E207" s="44">
        <f>Composite!D241</f>
        <v>80.151952923044973</v>
      </c>
      <c r="F207" s="24">
        <f>Composite!E241</f>
        <v>13</v>
      </c>
      <c r="G207" s="24">
        <f>Composite!F241</f>
        <v>1183.5005381933265</v>
      </c>
      <c r="H207" s="24">
        <f>Composite!G241</f>
        <v>0</v>
      </c>
      <c r="I207" s="24" t="str">
        <f>Composite!H241</f>
        <v>ResDHW</v>
      </c>
      <c r="J207" s="24">
        <f>Composite!I241</f>
        <v>-0.55106513090871534</v>
      </c>
      <c r="K207" s="24">
        <f>Composite!J241</f>
        <v>0</v>
      </c>
      <c r="L207" s="24">
        <f>Composite!K241</f>
        <v>0</v>
      </c>
      <c r="M207" s="24">
        <f>Composite!L241</f>
        <v>0</v>
      </c>
      <c r="N207" s="24">
        <f>Composite!M241</f>
        <v>0</v>
      </c>
      <c r="O207" s="24">
        <f>Composite!N241</f>
        <v>0</v>
      </c>
      <c r="P207" s="24">
        <f>Composite!O241</f>
        <v>0</v>
      </c>
      <c r="Q207" s="24">
        <f>Composite!P241</f>
        <v>0</v>
      </c>
      <c r="R207" s="24" t="str">
        <f>Composite!Q241</f>
        <v/>
      </c>
    </row>
    <row r="208" spans="1:18" ht="25.5">
      <c r="A208" t="s">
        <v>53</v>
      </c>
      <c r="B208" t="str">
        <f t="shared" si="4"/>
        <v>Tier2_indor2_HZ1_zonlHeatkwh</v>
      </c>
      <c r="C208" s="24" t="str">
        <f>Composite!B242</f>
        <v>Tier2_indor2_HZ1_zonl</v>
      </c>
      <c r="D208" s="24" t="str">
        <f>Composite!C242</f>
        <v>Heatkwh</v>
      </c>
      <c r="E208" s="44">
        <f>Composite!D242</f>
        <v>-54.275703650071307</v>
      </c>
      <c r="F208" s="24">
        <f>Composite!E242</f>
        <v>13</v>
      </c>
      <c r="G208" s="24">
        <f>Composite!F242</f>
        <v>0</v>
      </c>
      <c r="H208" s="24">
        <f>Composite!G242</f>
        <v>0</v>
      </c>
      <c r="I208" s="24" t="str">
        <f>Composite!H242</f>
        <v>ResSpHtBBZ1</v>
      </c>
      <c r="J208" s="24">
        <f>Composite!I242</f>
        <v>-0.55106513090871534</v>
      </c>
      <c r="K208" s="24">
        <f>Composite!J242</f>
        <v>0</v>
      </c>
      <c r="L208" s="24">
        <f>Composite!K242</f>
        <v>0</v>
      </c>
      <c r="M208" s="24">
        <f>Composite!L242</f>
        <v>0</v>
      </c>
      <c r="N208" s="24">
        <f>Composite!M242</f>
        <v>0</v>
      </c>
      <c r="O208" s="24">
        <f>Composite!N242</f>
        <v>0</v>
      </c>
      <c r="P208" s="24">
        <f>Composite!O242</f>
        <v>0</v>
      </c>
      <c r="Q208" s="24">
        <f>Composite!P242</f>
        <v>-0.12922453629106634</v>
      </c>
      <c r="R208" s="24" t="str">
        <f>Composite!Q242</f>
        <v>ResSpHtBBZ1</v>
      </c>
    </row>
    <row r="209" spans="1:18" ht="25.5">
      <c r="A209" t="s">
        <v>53</v>
      </c>
      <c r="B209" t="str">
        <f t="shared" si="4"/>
        <v>Tier2_indor2_HZ1_zonlCoolkwh</v>
      </c>
      <c r="C209" s="24" t="str">
        <f>Composite!B243</f>
        <v>Tier2_indor2_HZ1_zonl</v>
      </c>
      <c r="D209" s="24" t="str">
        <f>Composite!C243</f>
        <v>Coolkwh</v>
      </c>
      <c r="E209" s="44">
        <f>Composite!D243</f>
        <v>0</v>
      </c>
      <c r="F209" s="24">
        <f>Composite!E243</f>
        <v>13</v>
      </c>
      <c r="G209" s="24">
        <f>Composite!F243</f>
        <v>0</v>
      </c>
      <c r="H209" s="24">
        <f>Composite!G243</f>
        <v>0</v>
      </c>
      <c r="I209" s="24" t="str">
        <f>Composite!H243</f>
        <v>ResCACPNW</v>
      </c>
      <c r="J209" s="24">
        <f>Composite!I243</f>
        <v>-0.55106513090871534</v>
      </c>
      <c r="K209" s="24">
        <f>Composite!J243</f>
        <v>0</v>
      </c>
      <c r="L209" s="24">
        <f>Composite!K243</f>
        <v>0</v>
      </c>
      <c r="M209" s="24">
        <f>Composite!L243</f>
        <v>0</v>
      </c>
      <c r="N209" s="24">
        <f>Composite!M243</f>
        <v>0</v>
      </c>
      <c r="O209" s="24">
        <f>Composite!N243</f>
        <v>0</v>
      </c>
      <c r="P209" s="24">
        <f>Composite!O243</f>
        <v>0</v>
      </c>
      <c r="Q209" s="24">
        <f>Composite!P243</f>
        <v>0</v>
      </c>
      <c r="R209" s="24" t="str">
        <f>Composite!Q243</f>
        <v/>
      </c>
    </row>
    <row r="210" spans="1:18">
      <c r="A210" t="s">
        <v>53</v>
      </c>
      <c r="B210" t="str">
        <f t="shared" si="4"/>
        <v>Tier2_indor2_HZ2_gfncDHWkwh</v>
      </c>
      <c r="C210" s="24" t="str">
        <f>Composite!B244</f>
        <v>Tier2_indor2_HZ2_gfnc</v>
      </c>
      <c r="D210" s="24" t="str">
        <f>Composite!C244</f>
        <v>DHWkwh</v>
      </c>
      <c r="E210" s="44">
        <f>Composite!D244</f>
        <v>80.797266248964661</v>
      </c>
      <c r="F210" s="24">
        <f>Composite!E244</f>
        <v>13</v>
      </c>
      <c r="G210" s="24">
        <f>Composite!F244</f>
        <v>1183.5005381933265</v>
      </c>
      <c r="H210" s="24">
        <f>Composite!G244</f>
        <v>0</v>
      </c>
      <c r="I210" s="24" t="str">
        <f>Composite!H244</f>
        <v>ResDHW</v>
      </c>
      <c r="J210" s="24">
        <f>Composite!I244</f>
        <v>-0.80745509509243796</v>
      </c>
      <c r="K210" s="24">
        <f>Composite!J244</f>
        <v>0</v>
      </c>
      <c r="L210" s="24">
        <f>Composite!K244</f>
        <v>0</v>
      </c>
      <c r="M210" s="24">
        <f>Composite!L244</f>
        <v>0</v>
      </c>
      <c r="N210" s="24">
        <f>Composite!M244</f>
        <v>0</v>
      </c>
      <c r="O210" s="24">
        <f>Composite!N244</f>
        <v>0</v>
      </c>
      <c r="P210" s="24">
        <f>Composite!O244</f>
        <v>0</v>
      </c>
      <c r="Q210" s="24">
        <f>Composite!P244</f>
        <v>0</v>
      </c>
      <c r="R210" s="24" t="str">
        <f>Composite!Q244</f>
        <v/>
      </c>
    </row>
    <row r="211" spans="1:18" ht="25.5">
      <c r="A211" t="s">
        <v>53</v>
      </c>
      <c r="B211" t="str">
        <f t="shared" si="4"/>
        <v>Tier2_indor2_HZ2_gfncHeatkwh</v>
      </c>
      <c r="C211" s="24" t="str">
        <f>Composite!B245</f>
        <v>Tier2_indor2_HZ2_gfnc</v>
      </c>
      <c r="D211" s="24" t="str">
        <f>Composite!C245</f>
        <v>Heatkwh</v>
      </c>
      <c r="E211" s="44">
        <f>Composite!D245</f>
        <v>-2.2347709854631734</v>
      </c>
      <c r="F211" s="24">
        <f>Composite!E245</f>
        <v>13</v>
      </c>
      <c r="G211" s="24">
        <f>Composite!F245</f>
        <v>0</v>
      </c>
      <c r="H211" s="24">
        <f>Composite!G245</f>
        <v>0</v>
      </c>
      <c r="I211" s="24" t="str">
        <f>Composite!H245</f>
        <v>ResSpHtFAFZ2</v>
      </c>
      <c r="J211" s="24">
        <f>Composite!I245</f>
        <v>-0.80745509509243796</v>
      </c>
      <c r="K211" s="24">
        <f>Composite!J245</f>
        <v>0</v>
      </c>
      <c r="L211" s="24">
        <f>Composite!K245</f>
        <v>0</v>
      </c>
      <c r="M211" s="24">
        <f>Composite!L245</f>
        <v>0</v>
      </c>
      <c r="N211" s="24">
        <f>Composite!M245</f>
        <v>0</v>
      </c>
      <c r="O211" s="24">
        <f>Composite!N245</f>
        <v>0</v>
      </c>
      <c r="P211" s="24">
        <f>Composite!O245</f>
        <v>0</v>
      </c>
      <c r="Q211" s="24">
        <f>Composite!P245</f>
        <v>-3.0758065928616922</v>
      </c>
      <c r="R211" s="24" t="str">
        <f>Composite!Q245</f>
        <v>ResSpHtFAFZ2</v>
      </c>
    </row>
    <row r="212" spans="1:18" ht="25.5">
      <c r="A212" t="s">
        <v>53</v>
      </c>
      <c r="B212" t="str">
        <f t="shared" si="4"/>
        <v>Tier2_indor2_HZ2_gfncCoolkwh</v>
      </c>
      <c r="C212" s="24" t="str">
        <f>Composite!B246</f>
        <v>Tier2_indor2_HZ2_gfnc</v>
      </c>
      <c r="D212" s="24" t="str">
        <f>Composite!C246</f>
        <v>Coolkwh</v>
      </c>
      <c r="E212" s="44">
        <f>Composite!D246</f>
        <v>0</v>
      </c>
      <c r="F212" s="24">
        <f>Composite!E246</f>
        <v>13</v>
      </c>
      <c r="G212" s="24">
        <f>Composite!F246</f>
        <v>0</v>
      </c>
      <c r="H212" s="24">
        <f>Composite!G246</f>
        <v>0</v>
      </c>
      <c r="I212" s="24" t="str">
        <f>Composite!H246</f>
        <v>ResCACPNW</v>
      </c>
      <c r="J212" s="24">
        <f>Composite!I246</f>
        <v>-0.80745509509243796</v>
      </c>
      <c r="K212" s="24">
        <f>Composite!J246</f>
        <v>0</v>
      </c>
      <c r="L212" s="24">
        <f>Composite!K246</f>
        <v>0</v>
      </c>
      <c r="M212" s="24">
        <f>Composite!L246</f>
        <v>0</v>
      </c>
      <c r="N212" s="24">
        <f>Composite!M246</f>
        <v>0</v>
      </c>
      <c r="O212" s="24">
        <f>Composite!N246</f>
        <v>0</v>
      </c>
      <c r="P212" s="24">
        <f>Composite!O246</f>
        <v>0</v>
      </c>
      <c r="Q212" s="24">
        <f>Composite!P246</f>
        <v>0</v>
      </c>
      <c r="R212" s="24" t="str">
        <f>Composite!Q246</f>
        <v/>
      </c>
    </row>
    <row r="213" spans="1:18">
      <c r="A213" t="s">
        <v>53</v>
      </c>
      <c r="B213" t="str">
        <f t="shared" si="4"/>
        <v>Tier2_indor2_HZ2_gfacDHWkwh</v>
      </c>
      <c r="C213" s="24" t="str">
        <f>Composite!B247</f>
        <v>Tier2_indor2_HZ2_gfac</v>
      </c>
      <c r="D213" s="24" t="str">
        <f>Composite!C247</f>
        <v>DHWkwh</v>
      </c>
      <c r="E213" s="44">
        <f>Composite!D247</f>
        <v>89.615797865410968</v>
      </c>
      <c r="F213" s="24">
        <f>Composite!E247</f>
        <v>13</v>
      </c>
      <c r="G213" s="24">
        <f>Composite!F247</f>
        <v>1183.5005381933265</v>
      </c>
      <c r="H213" s="24">
        <f>Composite!G247</f>
        <v>0</v>
      </c>
      <c r="I213" s="24" t="str">
        <f>Composite!H247</f>
        <v>ResDHW</v>
      </c>
      <c r="J213" s="24">
        <f>Composite!I247</f>
        <v>-0.83468397616544454</v>
      </c>
      <c r="K213" s="24">
        <f>Composite!J247</f>
        <v>0</v>
      </c>
      <c r="L213" s="24">
        <f>Composite!K247</f>
        <v>0</v>
      </c>
      <c r="M213" s="24">
        <f>Composite!L247</f>
        <v>0</v>
      </c>
      <c r="N213" s="24">
        <f>Composite!M247</f>
        <v>0</v>
      </c>
      <c r="O213" s="24">
        <f>Composite!N247</f>
        <v>0</v>
      </c>
      <c r="P213" s="24">
        <f>Composite!O247</f>
        <v>0</v>
      </c>
      <c r="Q213" s="24">
        <f>Composite!P247</f>
        <v>0</v>
      </c>
      <c r="R213" s="24" t="str">
        <f>Composite!Q247</f>
        <v/>
      </c>
    </row>
    <row r="214" spans="1:18" ht="25.5">
      <c r="A214" t="s">
        <v>53</v>
      </c>
      <c r="B214" t="str">
        <f t="shared" si="4"/>
        <v>Tier2_indor2_HZ2_gfacHeatkwh</v>
      </c>
      <c r="C214" s="24" t="str">
        <f>Composite!B248</f>
        <v>Tier2_indor2_HZ2_gfac</v>
      </c>
      <c r="D214" s="24" t="str">
        <f>Composite!C248</f>
        <v>Heatkwh</v>
      </c>
      <c r="E214" s="44">
        <f>Composite!D248</f>
        <v>-2.4167261380351395</v>
      </c>
      <c r="F214" s="24">
        <f>Composite!E248</f>
        <v>13</v>
      </c>
      <c r="G214" s="24">
        <f>Composite!F248</f>
        <v>0</v>
      </c>
      <c r="H214" s="24">
        <f>Composite!G248</f>
        <v>0</v>
      </c>
      <c r="I214" s="24" t="str">
        <f>Composite!H248</f>
        <v>ResSpHtFAFZ2</v>
      </c>
      <c r="J214" s="24">
        <f>Composite!I248</f>
        <v>-0.83468397616544454</v>
      </c>
      <c r="K214" s="24">
        <f>Composite!J248</f>
        <v>0</v>
      </c>
      <c r="L214" s="24">
        <f>Composite!K248</f>
        <v>0</v>
      </c>
      <c r="M214" s="24">
        <f>Composite!L248</f>
        <v>0</v>
      </c>
      <c r="N214" s="24">
        <f>Composite!M248</f>
        <v>0</v>
      </c>
      <c r="O214" s="24">
        <f>Composite!N248</f>
        <v>0</v>
      </c>
      <c r="P214" s="24">
        <f>Composite!O248</f>
        <v>0</v>
      </c>
      <c r="Q214" s="24">
        <f>Composite!P248</f>
        <v>-3.1754462530863812</v>
      </c>
      <c r="R214" s="24" t="str">
        <f>Composite!Q248</f>
        <v>ResSpHtFAFZ2</v>
      </c>
    </row>
    <row r="215" spans="1:18" ht="25.5">
      <c r="A215" t="s">
        <v>53</v>
      </c>
      <c r="B215" t="str">
        <f t="shared" si="4"/>
        <v>Tier2_indor2_HZ2_gfacCoolkwh</v>
      </c>
      <c r="C215" s="24" t="str">
        <f>Composite!B249</f>
        <v>Tier2_indor2_HZ2_gfac</v>
      </c>
      <c r="D215" s="24" t="str">
        <f>Composite!C249</f>
        <v>Coolkwh</v>
      </c>
      <c r="E215" s="44">
        <f>Composite!D249</f>
        <v>-4.4447819007170715</v>
      </c>
      <c r="F215" s="24">
        <f>Composite!E249</f>
        <v>13</v>
      </c>
      <c r="G215" s="24">
        <f>Composite!F249</f>
        <v>0</v>
      </c>
      <c r="H215" s="24">
        <f>Composite!G249</f>
        <v>0</v>
      </c>
      <c r="I215" s="24" t="str">
        <f>Composite!H249</f>
        <v>ResCACPNW</v>
      </c>
      <c r="J215" s="24">
        <f>Composite!I249</f>
        <v>-0.83468397616544454</v>
      </c>
      <c r="K215" s="24">
        <f>Composite!J249</f>
        <v>0</v>
      </c>
      <c r="L215" s="24">
        <f>Composite!K249</f>
        <v>0</v>
      </c>
      <c r="M215" s="24">
        <f>Composite!L249</f>
        <v>0</v>
      </c>
      <c r="N215" s="24">
        <f>Composite!M249</f>
        <v>0</v>
      </c>
      <c r="O215" s="24">
        <f>Composite!N249</f>
        <v>0</v>
      </c>
      <c r="P215" s="24">
        <f>Composite!O249</f>
        <v>0</v>
      </c>
      <c r="Q215" s="24">
        <f>Composite!P249</f>
        <v>0</v>
      </c>
      <c r="R215" s="24" t="str">
        <f>Composite!Q249</f>
        <v/>
      </c>
    </row>
    <row r="216" spans="1:18">
      <c r="A216" t="s">
        <v>53</v>
      </c>
      <c r="B216" t="str">
        <f t="shared" si="4"/>
        <v>Tier2_indor2_HZ2_efafDHWkwh</v>
      </c>
      <c r="C216" s="24" t="str">
        <f>Composite!B250</f>
        <v>Tier2_indor2_HZ2_efaf</v>
      </c>
      <c r="D216" s="24" t="str">
        <f>Composite!C250</f>
        <v>DHWkwh</v>
      </c>
      <c r="E216" s="44">
        <f>Composite!D250</f>
        <v>80.797266248964661</v>
      </c>
      <c r="F216" s="24">
        <f>Composite!E250</f>
        <v>13</v>
      </c>
      <c r="G216" s="24">
        <f>Composite!F250</f>
        <v>1183.5005381933265</v>
      </c>
      <c r="H216" s="24">
        <f>Composite!G250</f>
        <v>0</v>
      </c>
      <c r="I216" s="24" t="str">
        <f>Composite!H250</f>
        <v>ResDHW</v>
      </c>
      <c r="J216" s="24">
        <f>Composite!I250</f>
        <v>-0.5698269604489492</v>
      </c>
      <c r="K216" s="24">
        <f>Composite!J250</f>
        <v>0</v>
      </c>
      <c r="L216" s="24">
        <f>Composite!K250</f>
        <v>0</v>
      </c>
      <c r="M216" s="24">
        <f>Composite!L250</f>
        <v>0</v>
      </c>
      <c r="N216" s="24">
        <f>Composite!M250</f>
        <v>0</v>
      </c>
      <c r="O216" s="24">
        <f>Composite!N250</f>
        <v>0</v>
      </c>
      <c r="P216" s="24">
        <f>Composite!O250</f>
        <v>0</v>
      </c>
      <c r="Q216" s="24">
        <f>Composite!P250</f>
        <v>0</v>
      </c>
      <c r="R216" s="24" t="str">
        <f>Composite!Q250</f>
        <v/>
      </c>
    </row>
    <row r="217" spans="1:18" ht="25.5">
      <c r="A217" t="s">
        <v>53</v>
      </c>
      <c r="B217" t="str">
        <f t="shared" si="4"/>
        <v>Tier2_indor2_HZ2_efafHeatkwh</v>
      </c>
      <c r="C217" s="24" t="str">
        <f>Composite!B251</f>
        <v>Tier2_indor2_HZ2_efaf</v>
      </c>
      <c r="D217" s="24" t="str">
        <f>Composite!C251</f>
        <v>Heatkwh</v>
      </c>
      <c r="E217" s="44">
        <f>Composite!D251</f>
        <v>-57.136531490288064</v>
      </c>
      <c r="F217" s="24">
        <f>Composite!E251</f>
        <v>13</v>
      </c>
      <c r="G217" s="24">
        <f>Composite!F251</f>
        <v>0</v>
      </c>
      <c r="H217" s="24">
        <f>Composite!G251</f>
        <v>0</v>
      </c>
      <c r="I217" s="24" t="str">
        <f>Composite!H251</f>
        <v>ResSpHtFAFZ2</v>
      </c>
      <c r="J217" s="24">
        <f>Composite!I251</f>
        <v>-0.5698269604489492</v>
      </c>
      <c r="K217" s="24">
        <f>Composite!J251</f>
        <v>0</v>
      </c>
      <c r="L217" s="24">
        <f>Composite!K251</f>
        <v>0</v>
      </c>
      <c r="M217" s="24">
        <f>Composite!L251</f>
        <v>0</v>
      </c>
      <c r="N217" s="24">
        <f>Composite!M251</f>
        <v>0</v>
      </c>
      <c r="O217" s="24">
        <f>Composite!N251</f>
        <v>0</v>
      </c>
      <c r="P217" s="24">
        <f>Composite!O251</f>
        <v>0</v>
      </c>
      <c r="Q217" s="24">
        <f>Composite!P251</f>
        <v>-4.2868288352899742E-2</v>
      </c>
      <c r="R217" s="24" t="str">
        <f>Composite!Q251</f>
        <v>ResSpHtFAFZ2</v>
      </c>
    </row>
    <row r="218" spans="1:18" ht="25.5">
      <c r="A218" t="s">
        <v>53</v>
      </c>
      <c r="B218" t="str">
        <f t="shared" si="4"/>
        <v>Tier2_indor2_HZ2_efafCoolkwh</v>
      </c>
      <c r="C218" s="24" t="str">
        <f>Composite!B252</f>
        <v>Tier2_indor2_HZ2_efaf</v>
      </c>
      <c r="D218" s="24" t="str">
        <f>Composite!C252</f>
        <v>Coolkwh</v>
      </c>
      <c r="E218" s="44">
        <f>Composite!D252</f>
        <v>0</v>
      </c>
      <c r="F218" s="24">
        <f>Composite!E252</f>
        <v>13</v>
      </c>
      <c r="G218" s="24">
        <f>Composite!F252</f>
        <v>0</v>
      </c>
      <c r="H218" s="24">
        <f>Composite!G252</f>
        <v>0</v>
      </c>
      <c r="I218" s="24" t="str">
        <f>Composite!H252</f>
        <v>ResCACPNW</v>
      </c>
      <c r="J218" s="24">
        <f>Composite!I252</f>
        <v>-0.5698269604489492</v>
      </c>
      <c r="K218" s="24">
        <f>Composite!J252</f>
        <v>0</v>
      </c>
      <c r="L218" s="24">
        <f>Composite!K252</f>
        <v>0</v>
      </c>
      <c r="M218" s="24">
        <f>Composite!L252</f>
        <v>0</v>
      </c>
      <c r="N218" s="24">
        <f>Composite!M252</f>
        <v>0</v>
      </c>
      <c r="O218" s="24">
        <f>Composite!N252</f>
        <v>0</v>
      </c>
      <c r="P218" s="24">
        <f>Composite!O252</f>
        <v>0</v>
      </c>
      <c r="Q218" s="24">
        <f>Composite!P252</f>
        <v>0</v>
      </c>
      <c r="R218" s="24" t="str">
        <f>Composite!Q252</f>
        <v/>
      </c>
    </row>
    <row r="219" spans="1:18">
      <c r="A219" t="s">
        <v>53</v>
      </c>
      <c r="B219" t="str">
        <f t="shared" si="4"/>
        <v>Tier2_indor2_HZ2_hp85DHWkwh</v>
      </c>
      <c r="C219" s="24" t="str">
        <f>Composite!B253</f>
        <v>Tier2_indor2_HZ2_hp85</v>
      </c>
      <c r="D219" s="24" t="str">
        <f>Composite!C253</f>
        <v>DHWkwh</v>
      </c>
      <c r="E219" s="44">
        <f>Composite!D253</f>
        <v>89.6325561550766</v>
      </c>
      <c r="F219" s="24">
        <f>Composite!E253</f>
        <v>13</v>
      </c>
      <c r="G219" s="24">
        <f>Composite!F253</f>
        <v>1183.5005381933265</v>
      </c>
      <c r="H219" s="24">
        <f>Composite!G253</f>
        <v>0</v>
      </c>
      <c r="I219" s="24" t="str">
        <f>Composite!H253</f>
        <v>ResDHW</v>
      </c>
      <c r="J219" s="24">
        <f>Composite!I253</f>
        <v>-0.42317667373126433</v>
      </c>
      <c r="K219" s="24">
        <f>Composite!J253</f>
        <v>0</v>
      </c>
      <c r="L219" s="24">
        <f>Composite!K253</f>
        <v>0</v>
      </c>
      <c r="M219" s="24">
        <f>Composite!L253</f>
        <v>0</v>
      </c>
      <c r="N219" s="24">
        <f>Composite!M253</f>
        <v>0</v>
      </c>
      <c r="O219" s="24">
        <f>Composite!N253</f>
        <v>0</v>
      </c>
      <c r="P219" s="24">
        <f>Composite!O253</f>
        <v>0</v>
      </c>
      <c r="Q219" s="24">
        <f>Composite!P253</f>
        <v>0</v>
      </c>
      <c r="R219" s="24" t="str">
        <f>Composite!Q253</f>
        <v/>
      </c>
    </row>
    <row r="220" spans="1:18" ht="25.5">
      <c r="A220" t="s">
        <v>53</v>
      </c>
      <c r="B220" t="str">
        <f t="shared" si="4"/>
        <v>Tier2_indor2_HZ2_hp85Heatkwh</v>
      </c>
      <c r="C220" s="24" t="str">
        <f>Composite!B254</f>
        <v>Tier2_indor2_HZ2_hp85</v>
      </c>
      <c r="D220" s="24" t="str">
        <f>Composite!C254</f>
        <v>Heatkwh</v>
      </c>
      <c r="E220" s="44">
        <f>Composite!D254</f>
        <v>-42.431911830833741</v>
      </c>
      <c r="F220" s="24">
        <f>Composite!E254</f>
        <v>13</v>
      </c>
      <c r="G220" s="24">
        <f>Composite!F254</f>
        <v>0</v>
      </c>
      <c r="H220" s="24">
        <f>Composite!G254</f>
        <v>0</v>
      </c>
      <c r="I220" s="24" t="str">
        <f>Composite!H254</f>
        <v>ResSpHtHPZ2</v>
      </c>
      <c r="J220" s="24">
        <f>Composite!I254</f>
        <v>-0.42317667373126433</v>
      </c>
      <c r="K220" s="24">
        <f>Composite!J254</f>
        <v>0</v>
      </c>
      <c r="L220" s="24">
        <f>Composite!K254</f>
        <v>0</v>
      </c>
      <c r="M220" s="24">
        <f>Composite!L254</f>
        <v>0</v>
      </c>
      <c r="N220" s="24">
        <f>Composite!M254</f>
        <v>0</v>
      </c>
      <c r="O220" s="24">
        <f>Composite!N254</f>
        <v>0</v>
      </c>
      <c r="P220" s="24">
        <f>Composite!O254</f>
        <v>0</v>
      </c>
      <c r="Q220" s="24">
        <f>Composite!P254</f>
        <v>-3.1835734236653479E-2</v>
      </c>
      <c r="R220" s="24" t="str">
        <f>Composite!Q254</f>
        <v>ResSpHtHPZ2</v>
      </c>
    </row>
    <row r="221" spans="1:18" ht="25.5">
      <c r="A221" t="s">
        <v>53</v>
      </c>
      <c r="B221" t="str">
        <f t="shared" si="4"/>
        <v>Tier2_indor2_HZ2_hp85Coolkwh</v>
      </c>
      <c r="C221" s="24" t="str">
        <f>Composite!B255</f>
        <v>Tier2_indor2_HZ2_hp85</v>
      </c>
      <c r="D221" s="24" t="str">
        <f>Composite!C255</f>
        <v>Coolkwh</v>
      </c>
      <c r="E221" s="44">
        <f>Composite!D255</f>
        <v>-4.4474205089167533</v>
      </c>
      <c r="F221" s="24">
        <f>Composite!E255</f>
        <v>13</v>
      </c>
      <c r="G221" s="24">
        <f>Composite!F255</f>
        <v>0</v>
      </c>
      <c r="H221" s="24">
        <f>Composite!G255</f>
        <v>0</v>
      </c>
      <c r="I221" s="24" t="str">
        <f>Composite!H255</f>
        <v>ResCACPNW</v>
      </c>
      <c r="J221" s="24">
        <f>Composite!I255</f>
        <v>-0.42317667373126433</v>
      </c>
      <c r="K221" s="24">
        <f>Composite!J255</f>
        <v>0</v>
      </c>
      <c r="L221" s="24">
        <f>Composite!K255</f>
        <v>0</v>
      </c>
      <c r="M221" s="24">
        <f>Composite!L255</f>
        <v>0</v>
      </c>
      <c r="N221" s="24">
        <f>Composite!M255</f>
        <v>0</v>
      </c>
      <c r="O221" s="24">
        <f>Composite!N255</f>
        <v>0</v>
      </c>
      <c r="P221" s="24">
        <f>Composite!O255</f>
        <v>0</v>
      </c>
      <c r="Q221" s="24">
        <f>Composite!P255</f>
        <v>0</v>
      </c>
      <c r="R221" s="24" t="str">
        <f>Composite!Q255</f>
        <v/>
      </c>
    </row>
    <row r="222" spans="1:18">
      <c r="A222" t="s">
        <v>53</v>
      </c>
      <c r="B222" t="str">
        <f t="shared" si="4"/>
        <v>Tier2_indor2_HZ2_zonlDHWkwh</v>
      </c>
      <c r="C222" s="24" t="str">
        <f>Composite!B256</f>
        <v>Tier2_indor2_HZ2_zonl</v>
      </c>
      <c r="D222" s="24" t="str">
        <f>Composite!C256</f>
        <v>DHWkwh</v>
      </c>
      <c r="E222" s="44">
        <f>Composite!D256</f>
        <v>81.002728246778815</v>
      </c>
      <c r="F222" s="24">
        <f>Composite!E256</f>
        <v>13</v>
      </c>
      <c r="G222" s="24">
        <f>Composite!F256</f>
        <v>1183.5005381933265</v>
      </c>
      <c r="H222" s="24">
        <f>Composite!G256</f>
        <v>0</v>
      </c>
      <c r="I222" s="24" t="str">
        <f>Composite!H256</f>
        <v>ResDHW</v>
      </c>
      <c r="J222" s="24">
        <f>Composite!I256</f>
        <v>-0.50517524358254429</v>
      </c>
      <c r="K222" s="24">
        <f>Composite!J256</f>
        <v>0</v>
      </c>
      <c r="L222" s="24">
        <f>Composite!K256</f>
        <v>0</v>
      </c>
      <c r="M222" s="24">
        <f>Composite!L256</f>
        <v>0</v>
      </c>
      <c r="N222" s="24">
        <f>Composite!M256</f>
        <v>0</v>
      </c>
      <c r="O222" s="24">
        <f>Composite!N256</f>
        <v>0</v>
      </c>
      <c r="P222" s="24">
        <f>Composite!O256</f>
        <v>0</v>
      </c>
      <c r="Q222" s="24">
        <f>Composite!P256</f>
        <v>0</v>
      </c>
      <c r="R222" s="24" t="str">
        <f>Composite!Q256</f>
        <v/>
      </c>
    </row>
    <row r="223" spans="1:18" ht="25.5">
      <c r="A223" t="s">
        <v>53</v>
      </c>
      <c r="B223" t="str">
        <f t="shared" si="4"/>
        <v>Tier2_indor2_HZ2_zonlHeatkwh</v>
      </c>
      <c r="C223" s="24" t="str">
        <f>Composite!B257</f>
        <v>Tier2_indor2_HZ2_zonl</v>
      </c>
      <c r="D223" s="24" t="str">
        <f>Composite!C257</f>
        <v>Heatkwh</v>
      </c>
      <c r="E223" s="44">
        <f>Composite!D257</f>
        <v>-50.653905863504576</v>
      </c>
      <c r="F223" s="24">
        <f>Composite!E257</f>
        <v>13</v>
      </c>
      <c r="G223" s="24">
        <f>Composite!F257</f>
        <v>0</v>
      </c>
      <c r="H223" s="24">
        <f>Composite!G257</f>
        <v>0</v>
      </c>
      <c r="I223" s="24" t="str">
        <f>Composite!H257</f>
        <v>ResSpHtBBZ2</v>
      </c>
      <c r="J223" s="24">
        <f>Composite!I257</f>
        <v>-0.50517524358254429</v>
      </c>
      <c r="K223" s="24">
        <f>Composite!J257</f>
        <v>0</v>
      </c>
      <c r="L223" s="24">
        <f>Composite!K257</f>
        <v>0</v>
      </c>
      <c r="M223" s="24">
        <f>Composite!L257</f>
        <v>0</v>
      </c>
      <c r="N223" s="24">
        <f>Composite!M257</f>
        <v>0</v>
      </c>
      <c r="O223" s="24">
        <f>Composite!N257</f>
        <v>0</v>
      </c>
      <c r="P223" s="24">
        <f>Composite!O257</f>
        <v>0</v>
      </c>
      <c r="Q223" s="24">
        <f>Composite!P257</f>
        <v>-3.8004516307162423E-2</v>
      </c>
      <c r="R223" s="24" t="str">
        <f>Composite!Q257</f>
        <v>ResSpHtBBZ2</v>
      </c>
    </row>
    <row r="224" spans="1:18" ht="25.5">
      <c r="A224" t="s">
        <v>53</v>
      </c>
      <c r="B224" t="str">
        <f t="shared" si="4"/>
        <v>Tier2_indor2_HZ2_zonlCoolkwh</v>
      </c>
      <c r="C224" s="24" t="str">
        <f>Composite!B258</f>
        <v>Tier2_indor2_HZ2_zonl</v>
      </c>
      <c r="D224" s="24" t="str">
        <f>Composite!C258</f>
        <v>Coolkwh</v>
      </c>
      <c r="E224" s="44">
        <f>Composite!D258</f>
        <v>0</v>
      </c>
      <c r="F224" s="24">
        <f>Composite!E258</f>
        <v>13</v>
      </c>
      <c r="G224" s="24">
        <f>Composite!F258</f>
        <v>0</v>
      </c>
      <c r="H224" s="24">
        <f>Composite!G258</f>
        <v>0</v>
      </c>
      <c r="I224" s="24" t="str">
        <f>Composite!H258</f>
        <v>ResCACPNW</v>
      </c>
      <c r="J224" s="24">
        <f>Composite!I258</f>
        <v>-0.50517524358254429</v>
      </c>
      <c r="K224" s="24">
        <f>Composite!J258</f>
        <v>0</v>
      </c>
      <c r="L224" s="24">
        <f>Composite!K258</f>
        <v>0</v>
      </c>
      <c r="M224" s="24">
        <f>Composite!L258</f>
        <v>0</v>
      </c>
      <c r="N224" s="24">
        <f>Composite!M258</f>
        <v>0</v>
      </c>
      <c r="O224" s="24">
        <f>Composite!N258</f>
        <v>0</v>
      </c>
      <c r="P224" s="24">
        <f>Composite!O258</f>
        <v>0</v>
      </c>
      <c r="Q224" s="24">
        <f>Composite!P258</f>
        <v>0</v>
      </c>
      <c r="R224" s="24" t="str">
        <f>Composite!Q258</f>
        <v/>
      </c>
    </row>
    <row r="225" spans="1:18">
      <c r="A225" t="s">
        <v>53</v>
      </c>
      <c r="B225" t="str">
        <f t="shared" si="4"/>
        <v>Tier2_indor2_HZ3_gfncDHWkwh</v>
      </c>
      <c r="C225" s="24" t="str">
        <f>Composite!B259</f>
        <v>Tier2_indor2_HZ3_gfnc</v>
      </c>
      <c r="D225" s="24" t="str">
        <f>Composite!C259</f>
        <v>DHWkwh</v>
      </c>
      <c r="E225" s="44">
        <f>Composite!D259</f>
        <v>109.59330593789969</v>
      </c>
      <c r="F225" s="24">
        <f>Composite!E259</f>
        <v>13</v>
      </c>
      <c r="G225" s="24">
        <f>Composite!F259</f>
        <v>1183.5005381933265</v>
      </c>
      <c r="H225" s="24">
        <f>Composite!G259</f>
        <v>0</v>
      </c>
      <c r="I225" s="24" t="str">
        <f>Composite!H259</f>
        <v>ResDHW</v>
      </c>
      <c r="J225" s="24">
        <f>Composite!I259</f>
        <v>-0.7604303497041478</v>
      </c>
      <c r="K225" s="24">
        <f>Composite!J259</f>
        <v>0</v>
      </c>
      <c r="L225" s="24">
        <f>Composite!K259</f>
        <v>0</v>
      </c>
      <c r="M225" s="24">
        <f>Composite!L259</f>
        <v>0</v>
      </c>
      <c r="N225" s="24">
        <f>Composite!M259</f>
        <v>0</v>
      </c>
      <c r="O225" s="24">
        <f>Composite!N259</f>
        <v>0</v>
      </c>
      <c r="P225" s="24">
        <f>Composite!O259</f>
        <v>0</v>
      </c>
      <c r="Q225" s="24">
        <f>Composite!P259</f>
        <v>0</v>
      </c>
      <c r="R225" s="24" t="str">
        <f>Composite!Q259</f>
        <v/>
      </c>
    </row>
    <row r="226" spans="1:18" ht="25.5">
      <c r="A226" t="s">
        <v>53</v>
      </c>
      <c r="B226" t="str">
        <f t="shared" si="4"/>
        <v>Tier2_indor2_HZ3_gfncHeatkwh</v>
      </c>
      <c r="C226" s="24" t="str">
        <f>Composite!B260</f>
        <v>Tier2_indor2_HZ3_gfnc</v>
      </c>
      <c r="D226" s="24" t="str">
        <f>Composite!C260</f>
        <v>Heatkwh</v>
      </c>
      <c r="E226" s="44">
        <f>Composite!D260</f>
        <v>-2.1511271742279625</v>
      </c>
      <c r="F226" s="24">
        <f>Composite!E260</f>
        <v>13</v>
      </c>
      <c r="G226" s="24">
        <f>Composite!F260</f>
        <v>0</v>
      </c>
      <c r="H226" s="24">
        <f>Composite!G260</f>
        <v>0</v>
      </c>
      <c r="I226" s="24" t="str">
        <f>Composite!H260</f>
        <v>ResSpHtFAFZ3</v>
      </c>
      <c r="J226" s="24">
        <f>Composite!I260</f>
        <v>-0.7604303497041478</v>
      </c>
      <c r="K226" s="24">
        <f>Composite!J260</f>
        <v>0</v>
      </c>
      <c r="L226" s="24">
        <f>Composite!K260</f>
        <v>0</v>
      </c>
      <c r="M226" s="24">
        <f>Composite!L260</f>
        <v>0</v>
      </c>
      <c r="N226" s="24">
        <f>Composite!M260</f>
        <v>0</v>
      </c>
      <c r="O226" s="24">
        <f>Composite!N260</f>
        <v>0</v>
      </c>
      <c r="P226" s="24">
        <f>Composite!O260</f>
        <v>0</v>
      </c>
      <c r="Q226" s="24">
        <f>Composite!P260</f>
        <v>-2.8948960949550653</v>
      </c>
      <c r="R226" s="24" t="str">
        <f>Composite!Q260</f>
        <v>ResSpHtFAFZ3</v>
      </c>
    </row>
    <row r="227" spans="1:18" ht="25.5">
      <c r="A227" t="s">
        <v>53</v>
      </c>
      <c r="B227" t="str">
        <f t="shared" si="4"/>
        <v>Tier2_indor2_HZ3_gfncCoolkwh</v>
      </c>
      <c r="C227" s="24" t="str">
        <f>Composite!B261</f>
        <v>Tier2_indor2_HZ3_gfnc</v>
      </c>
      <c r="D227" s="24" t="str">
        <f>Composite!C261</f>
        <v>Coolkwh</v>
      </c>
      <c r="E227" s="44">
        <f>Composite!D261</f>
        <v>0</v>
      </c>
      <c r="F227" s="24">
        <f>Composite!E261</f>
        <v>13</v>
      </c>
      <c r="G227" s="24">
        <f>Composite!F261</f>
        <v>0</v>
      </c>
      <c r="H227" s="24">
        <f>Composite!G261</f>
        <v>0</v>
      </c>
      <c r="I227" s="24" t="str">
        <f>Composite!H261</f>
        <v>ResCACPNW</v>
      </c>
      <c r="J227" s="24">
        <f>Composite!I261</f>
        <v>-0.7604303497041478</v>
      </c>
      <c r="K227" s="24">
        <f>Composite!J261</f>
        <v>0</v>
      </c>
      <c r="L227" s="24">
        <f>Composite!K261</f>
        <v>0</v>
      </c>
      <c r="M227" s="24">
        <f>Composite!L261</f>
        <v>0</v>
      </c>
      <c r="N227" s="24">
        <f>Composite!M261</f>
        <v>0</v>
      </c>
      <c r="O227" s="24">
        <f>Composite!N261</f>
        <v>0</v>
      </c>
      <c r="P227" s="24">
        <f>Composite!O261</f>
        <v>0</v>
      </c>
      <c r="Q227" s="24">
        <f>Composite!P261</f>
        <v>0</v>
      </c>
      <c r="R227" s="24" t="str">
        <f>Composite!Q261</f>
        <v/>
      </c>
    </row>
    <row r="228" spans="1:18">
      <c r="A228" t="s">
        <v>53</v>
      </c>
      <c r="B228" t="str">
        <f t="shared" si="4"/>
        <v>Tier2_indor2_HZ3_gfacDHWkwh</v>
      </c>
      <c r="C228" s="24" t="str">
        <f>Composite!B262</f>
        <v>Tier2_indor2_HZ3_gfac</v>
      </c>
      <c r="D228" s="24" t="str">
        <f>Composite!C262</f>
        <v>DHWkwh</v>
      </c>
      <c r="E228" s="44">
        <f>Composite!D262</f>
        <v>115.23941842478985</v>
      </c>
      <c r="F228" s="24">
        <f>Composite!E262</f>
        <v>13</v>
      </c>
      <c r="G228" s="24">
        <f>Composite!F262</f>
        <v>1183.5005381933265</v>
      </c>
      <c r="H228" s="24">
        <f>Composite!G262</f>
        <v>0</v>
      </c>
      <c r="I228" s="24" t="str">
        <f>Composite!H262</f>
        <v>ResDHW</v>
      </c>
      <c r="J228" s="24">
        <f>Composite!I262</f>
        <v>-0.7807355890106118</v>
      </c>
      <c r="K228" s="24">
        <f>Composite!J262</f>
        <v>0</v>
      </c>
      <c r="L228" s="24">
        <f>Composite!K262</f>
        <v>0</v>
      </c>
      <c r="M228" s="24">
        <f>Composite!L262</f>
        <v>0</v>
      </c>
      <c r="N228" s="24">
        <f>Composite!M262</f>
        <v>0</v>
      </c>
      <c r="O228" s="24">
        <f>Composite!N262</f>
        <v>0</v>
      </c>
      <c r="P228" s="24">
        <f>Composite!O262</f>
        <v>0</v>
      </c>
      <c r="Q228" s="24">
        <f>Composite!P262</f>
        <v>0</v>
      </c>
      <c r="R228" s="24" t="str">
        <f>Composite!Q262</f>
        <v/>
      </c>
    </row>
    <row r="229" spans="1:18" ht="25.5">
      <c r="A229" t="s">
        <v>53</v>
      </c>
      <c r="B229" t="str">
        <f t="shared" si="4"/>
        <v>Tier2_indor2_HZ3_gfacHeatkwh</v>
      </c>
      <c r="C229" s="24" t="str">
        <f>Composite!B263</f>
        <v>Tier2_indor2_HZ3_gfac</v>
      </c>
      <c r="D229" s="24" t="str">
        <f>Composite!C263</f>
        <v>Heatkwh</v>
      </c>
      <c r="E229" s="44">
        <f>Composite!D263</f>
        <v>-2.2676368651478871</v>
      </c>
      <c r="F229" s="24">
        <f>Composite!E263</f>
        <v>13</v>
      </c>
      <c r="G229" s="24">
        <f>Composite!F263</f>
        <v>0</v>
      </c>
      <c r="H229" s="24">
        <f>Composite!G263</f>
        <v>0</v>
      </c>
      <c r="I229" s="24" t="str">
        <f>Composite!H263</f>
        <v>ResSpHtFAFZ3</v>
      </c>
      <c r="J229" s="24">
        <f>Composite!I263</f>
        <v>-0.7807355890106118</v>
      </c>
      <c r="K229" s="24">
        <f>Composite!J263</f>
        <v>0</v>
      </c>
      <c r="L229" s="24">
        <f>Composite!K263</f>
        <v>0</v>
      </c>
      <c r="M229" s="24">
        <f>Composite!L263</f>
        <v>0</v>
      </c>
      <c r="N229" s="24">
        <f>Composite!M263</f>
        <v>0</v>
      </c>
      <c r="O229" s="24">
        <f>Composite!N263</f>
        <v>0</v>
      </c>
      <c r="P229" s="24">
        <f>Composite!O263</f>
        <v>0</v>
      </c>
      <c r="Q229" s="24">
        <f>Composite!P263</f>
        <v>-2.969934298002098</v>
      </c>
      <c r="R229" s="24" t="str">
        <f>Composite!Q263</f>
        <v>ResSpHtFAFZ3</v>
      </c>
    </row>
    <row r="230" spans="1:18" ht="25.5">
      <c r="A230" t="s">
        <v>53</v>
      </c>
      <c r="B230" t="str">
        <f t="shared" si="4"/>
        <v>Tier2_indor2_HZ3_gfacCoolkwh</v>
      </c>
      <c r="C230" s="24" t="str">
        <f>Composite!B264</f>
        <v>Tier2_indor2_HZ3_gfac</v>
      </c>
      <c r="D230" s="24" t="str">
        <f>Composite!C264</f>
        <v>Coolkwh</v>
      </c>
      <c r="E230" s="44">
        <f>Composite!D264</f>
        <v>-2.5978749772121503</v>
      </c>
      <c r="F230" s="24">
        <f>Composite!E264</f>
        <v>13</v>
      </c>
      <c r="G230" s="24">
        <f>Composite!F264</f>
        <v>0</v>
      </c>
      <c r="H230" s="24">
        <f>Composite!G264</f>
        <v>0</v>
      </c>
      <c r="I230" s="24" t="str">
        <f>Composite!H264</f>
        <v>ResCACPNW</v>
      </c>
      <c r="J230" s="24">
        <f>Composite!I264</f>
        <v>-0.7807355890106118</v>
      </c>
      <c r="K230" s="24">
        <f>Composite!J264</f>
        <v>0</v>
      </c>
      <c r="L230" s="24">
        <f>Composite!K264</f>
        <v>0</v>
      </c>
      <c r="M230" s="24">
        <f>Composite!L264</f>
        <v>0</v>
      </c>
      <c r="N230" s="24">
        <f>Composite!M264</f>
        <v>0</v>
      </c>
      <c r="O230" s="24">
        <f>Composite!N264</f>
        <v>0</v>
      </c>
      <c r="P230" s="24">
        <f>Composite!O264</f>
        <v>0</v>
      </c>
      <c r="Q230" s="24">
        <f>Composite!P264</f>
        <v>0</v>
      </c>
      <c r="R230" s="24" t="str">
        <f>Composite!Q264</f>
        <v/>
      </c>
    </row>
    <row r="231" spans="1:18">
      <c r="A231" t="s">
        <v>53</v>
      </c>
      <c r="B231" t="str">
        <f t="shared" si="4"/>
        <v>Tier2_indor2_HZ3_efafDHWkwh</v>
      </c>
      <c r="C231" s="24" t="str">
        <f>Composite!B265</f>
        <v>Tier2_indor2_HZ3_efaf</v>
      </c>
      <c r="D231" s="24" t="str">
        <f>Composite!C265</f>
        <v>DHWkwh</v>
      </c>
      <c r="E231" s="44">
        <f>Composite!D265</f>
        <v>109.59330593789969</v>
      </c>
      <c r="F231" s="24">
        <f>Composite!E265</f>
        <v>13</v>
      </c>
      <c r="G231" s="24">
        <f>Composite!F265</f>
        <v>1183.5005381933265</v>
      </c>
      <c r="H231" s="24">
        <f>Composite!G265</f>
        <v>0</v>
      </c>
      <c r="I231" s="24" t="str">
        <f>Composite!H265</f>
        <v>ResDHW</v>
      </c>
      <c r="J231" s="24">
        <f>Composite!I265</f>
        <v>-0.53567700994072709</v>
      </c>
      <c r="K231" s="24">
        <f>Composite!J265</f>
        <v>0</v>
      </c>
      <c r="L231" s="24">
        <f>Composite!K265</f>
        <v>0</v>
      </c>
      <c r="M231" s="24">
        <f>Composite!L265</f>
        <v>0</v>
      </c>
      <c r="N231" s="24">
        <f>Composite!M265</f>
        <v>0</v>
      </c>
      <c r="O231" s="24">
        <f>Composite!N265</f>
        <v>0</v>
      </c>
      <c r="P231" s="24">
        <f>Composite!O265</f>
        <v>0</v>
      </c>
      <c r="Q231" s="24">
        <f>Composite!P265</f>
        <v>0</v>
      </c>
      <c r="R231" s="24" t="str">
        <f>Composite!Q265</f>
        <v/>
      </c>
    </row>
    <row r="232" spans="1:18" ht="25.5">
      <c r="A232" t="s">
        <v>53</v>
      </c>
      <c r="B232" t="str">
        <f t="shared" si="4"/>
        <v>Tier2_indor2_HZ3_efafHeatkwh</v>
      </c>
      <c r="C232" s="24" t="str">
        <f>Composite!B266</f>
        <v>Tier2_indor2_HZ3_efaf</v>
      </c>
      <c r="D232" s="24" t="str">
        <f>Composite!C266</f>
        <v>Heatkwh</v>
      </c>
      <c r="E232" s="44">
        <f>Composite!D266</f>
        <v>-53.712317021622823</v>
      </c>
      <c r="F232" s="24">
        <f>Composite!E266</f>
        <v>13</v>
      </c>
      <c r="G232" s="24">
        <f>Composite!F266</f>
        <v>0</v>
      </c>
      <c r="H232" s="24">
        <f>Composite!G266</f>
        <v>0</v>
      </c>
      <c r="I232" s="24" t="str">
        <f>Composite!H266</f>
        <v>ResSpHtFAFZ3</v>
      </c>
      <c r="J232" s="24">
        <f>Composite!I266</f>
        <v>-0.53567700994072709</v>
      </c>
      <c r="K232" s="24">
        <f>Composite!J266</f>
        <v>0</v>
      </c>
      <c r="L232" s="24">
        <f>Composite!K266</f>
        <v>0</v>
      </c>
      <c r="M232" s="24">
        <f>Composite!L266</f>
        <v>0</v>
      </c>
      <c r="N232" s="24">
        <f>Composite!M266</f>
        <v>0</v>
      </c>
      <c r="O232" s="24">
        <f>Composite!N266</f>
        <v>0</v>
      </c>
      <c r="P232" s="24">
        <f>Composite!O266</f>
        <v>0</v>
      </c>
      <c r="Q232" s="24">
        <f>Composite!P266</f>
        <v>-4.0299175223415029E-2</v>
      </c>
      <c r="R232" s="24" t="str">
        <f>Composite!Q266</f>
        <v>ResSpHtFAFZ3</v>
      </c>
    </row>
    <row r="233" spans="1:18" ht="25.5">
      <c r="A233" t="s">
        <v>53</v>
      </c>
      <c r="B233" t="str">
        <f t="shared" si="4"/>
        <v>Tier2_indor2_HZ3_efafCoolkwh</v>
      </c>
      <c r="C233" s="24" t="str">
        <f>Composite!B267</f>
        <v>Tier2_indor2_HZ3_efaf</v>
      </c>
      <c r="D233" s="24" t="str">
        <f>Composite!C267</f>
        <v>Coolkwh</v>
      </c>
      <c r="E233" s="44">
        <f>Composite!D267</f>
        <v>0</v>
      </c>
      <c r="F233" s="24">
        <f>Composite!E267</f>
        <v>13</v>
      </c>
      <c r="G233" s="24">
        <f>Composite!F267</f>
        <v>0</v>
      </c>
      <c r="H233" s="24">
        <f>Composite!G267</f>
        <v>0</v>
      </c>
      <c r="I233" s="24" t="str">
        <f>Composite!H267</f>
        <v>ResCACPNW</v>
      </c>
      <c r="J233" s="24">
        <f>Composite!I267</f>
        <v>-0.53567700994072709</v>
      </c>
      <c r="K233" s="24">
        <f>Composite!J267</f>
        <v>0</v>
      </c>
      <c r="L233" s="24">
        <f>Composite!K267</f>
        <v>0</v>
      </c>
      <c r="M233" s="24">
        <f>Composite!L267</f>
        <v>0</v>
      </c>
      <c r="N233" s="24">
        <f>Composite!M267</f>
        <v>0</v>
      </c>
      <c r="O233" s="24">
        <f>Composite!N267</f>
        <v>0</v>
      </c>
      <c r="P233" s="24">
        <f>Composite!O267</f>
        <v>0</v>
      </c>
      <c r="Q233" s="24">
        <f>Composite!P267</f>
        <v>0</v>
      </c>
      <c r="R233" s="24" t="str">
        <f>Composite!Q267</f>
        <v/>
      </c>
    </row>
    <row r="234" spans="1:18">
      <c r="A234" t="s">
        <v>53</v>
      </c>
      <c r="B234" t="str">
        <f t="shared" si="4"/>
        <v>Tier2_indor2_HZ3_hp85DHWkwh</v>
      </c>
      <c r="C234" s="24" t="str">
        <f>Composite!B268</f>
        <v>Tier2_indor2_HZ3_hp85</v>
      </c>
      <c r="D234" s="24" t="str">
        <f>Composite!C268</f>
        <v>DHWkwh</v>
      </c>
      <c r="E234" s="44">
        <f>Composite!D268</f>
        <v>115.35182958543555</v>
      </c>
      <c r="F234" s="24">
        <f>Composite!E268</f>
        <v>13</v>
      </c>
      <c r="G234" s="24">
        <f>Composite!F268</f>
        <v>1183.5005381933265</v>
      </c>
      <c r="H234" s="24">
        <f>Composite!G268</f>
        <v>0</v>
      </c>
      <c r="I234" s="24" t="str">
        <f>Composite!H268</f>
        <v>ResDHW</v>
      </c>
      <c r="J234" s="24">
        <f>Composite!I268</f>
        <v>-0.47613744524803625</v>
      </c>
      <c r="K234" s="24">
        <f>Composite!J268</f>
        <v>0</v>
      </c>
      <c r="L234" s="24">
        <f>Composite!K268</f>
        <v>0</v>
      </c>
      <c r="M234" s="24">
        <f>Composite!L268</f>
        <v>0</v>
      </c>
      <c r="N234" s="24">
        <f>Composite!M268</f>
        <v>0</v>
      </c>
      <c r="O234" s="24">
        <f>Composite!N268</f>
        <v>0</v>
      </c>
      <c r="P234" s="24">
        <f>Composite!O268</f>
        <v>0</v>
      </c>
      <c r="Q234" s="24">
        <f>Composite!P268</f>
        <v>0</v>
      </c>
      <c r="R234" s="24" t="str">
        <f>Composite!Q268</f>
        <v/>
      </c>
    </row>
    <row r="235" spans="1:18" ht="25.5">
      <c r="A235" t="s">
        <v>53</v>
      </c>
      <c r="B235" t="str">
        <f t="shared" si="4"/>
        <v>Tier2_indor2_HZ3_hp85Heatkwh</v>
      </c>
      <c r="C235" s="24" t="str">
        <f>Composite!B269</f>
        <v>Tier2_indor2_HZ3_hp85</v>
      </c>
      <c r="D235" s="24" t="str">
        <f>Composite!C269</f>
        <v>Heatkwh</v>
      </c>
      <c r="E235" s="44">
        <f>Composite!D269</f>
        <v>-47.742286733302166</v>
      </c>
      <c r="F235" s="24">
        <f>Composite!E269</f>
        <v>13</v>
      </c>
      <c r="G235" s="24">
        <f>Composite!F269</f>
        <v>0</v>
      </c>
      <c r="H235" s="24">
        <f>Composite!G269</f>
        <v>0</v>
      </c>
      <c r="I235" s="24" t="str">
        <f>Composite!H269</f>
        <v>ResSpHtHPZ3</v>
      </c>
      <c r="J235" s="24">
        <f>Composite!I269</f>
        <v>-0.47613744524803625</v>
      </c>
      <c r="K235" s="24">
        <f>Composite!J269</f>
        <v>0</v>
      </c>
      <c r="L235" s="24">
        <f>Composite!K269</f>
        <v>0</v>
      </c>
      <c r="M235" s="24">
        <f>Composite!L269</f>
        <v>0</v>
      </c>
      <c r="N235" s="24">
        <f>Composite!M269</f>
        <v>0</v>
      </c>
      <c r="O235" s="24">
        <f>Composite!N269</f>
        <v>0</v>
      </c>
      <c r="P235" s="24">
        <f>Composite!O269</f>
        <v>0</v>
      </c>
      <c r="Q235" s="24">
        <f>Composite!P269</f>
        <v>-3.5819992234878584E-2</v>
      </c>
      <c r="R235" s="24" t="str">
        <f>Composite!Q269</f>
        <v>ResSpHtHPZ3</v>
      </c>
    </row>
    <row r="236" spans="1:18" ht="25.5">
      <c r="A236" t="s">
        <v>53</v>
      </c>
      <c r="B236" t="str">
        <f t="shared" si="4"/>
        <v>Tier2_indor2_HZ3_hp85Coolkwh</v>
      </c>
      <c r="C236" s="24" t="str">
        <f>Composite!B270</f>
        <v>Tier2_indor2_HZ3_hp85</v>
      </c>
      <c r="D236" s="24" t="str">
        <f>Composite!C270</f>
        <v>Coolkwh</v>
      </c>
      <c r="E236" s="44">
        <f>Composite!D270</f>
        <v>-2.5879861293810578</v>
      </c>
      <c r="F236" s="24">
        <f>Composite!E270</f>
        <v>13</v>
      </c>
      <c r="G236" s="24">
        <f>Composite!F270</f>
        <v>0</v>
      </c>
      <c r="H236" s="24">
        <f>Composite!G270</f>
        <v>0</v>
      </c>
      <c r="I236" s="24" t="str">
        <f>Composite!H270</f>
        <v>ResCACPNW</v>
      </c>
      <c r="J236" s="24">
        <f>Composite!I270</f>
        <v>-0.47613744524803625</v>
      </c>
      <c r="K236" s="24">
        <f>Composite!J270</f>
        <v>0</v>
      </c>
      <c r="L236" s="24">
        <f>Composite!K270</f>
        <v>0</v>
      </c>
      <c r="M236" s="24">
        <f>Composite!L270</f>
        <v>0</v>
      </c>
      <c r="N236" s="24">
        <f>Composite!M270</f>
        <v>0</v>
      </c>
      <c r="O236" s="24">
        <f>Composite!N270</f>
        <v>0</v>
      </c>
      <c r="P236" s="24">
        <f>Composite!O270</f>
        <v>0</v>
      </c>
      <c r="Q236" s="24">
        <f>Composite!P270</f>
        <v>0</v>
      </c>
      <c r="R236" s="24" t="str">
        <f>Composite!Q270</f>
        <v/>
      </c>
    </row>
    <row r="237" spans="1:18">
      <c r="A237" t="s">
        <v>53</v>
      </c>
      <c r="B237" t="str">
        <f t="shared" si="4"/>
        <v>Tier2_indor2_HZ3_zonlDHWkwh</v>
      </c>
      <c r="C237" s="24" t="str">
        <f>Composite!B271</f>
        <v>Tier2_indor2_HZ3_zonl</v>
      </c>
      <c r="D237" s="24" t="str">
        <f>Composite!C271</f>
        <v>DHWkwh</v>
      </c>
      <c r="E237" s="44">
        <f>Composite!D271</f>
        <v>109.50942122294055</v>
      </c>
      <c r="F237" s="24">
        <f>Composite!E271</f>
        <v>13</v>
      </c>
      <c r="G237" s="24">
        <f>Composite!F271</f>
        <v>1183.5005381933265</v>
      </c>
      <c r="H237" s="24">
        <f>Composite!G271</f>
        <v>0</v>
      </c>
      <c r="I237" s="24" t="str">
        <f>Composite!H271</f>
        <v>ResDHW</v>
      </c>
      <c r="J237" s="24">
        <f>Composite!I271</f>
        <v>-0.47131370199922618</v>
      </c>
      <c r="K237" s="24">
        <f>Composite!J271</f>
        <v>0</v>
      </c>
      <c r="L237" s="24">
        <f>Composite!K271</f>
        <v>0</v>
      </c>
      <c r="M237" s="24">
        <f>Composite!L271</f>
        <v>0</v>
      </c>
      <c r="N237" s="24">
        <f>Composite!M271</f>
        <v>0</v>
      </c>
      <c r="O237" s="24">
        <f>Composite!N271</f>
        <v>0</v>
      </c>
      <c r="P237" s="24">
        <f>Composite!O271</f>
        <v>0</v>
      </c>
      <c r="Q237" s="24">
        <f>Composite!P271</f>
        <v>0</v>
      </c>
      <c r="R237" s="24" t="str">
        <f>Composite!Q271</f>
        <v/>
      </c>
    </row>
    <row r="238" spans="1:18" ht="25.5">
      <c r="A238" t="s">
        <v>53</v>
      </c>
      <c r="B238" t="str">
        <f t="shared" si="4"/>
        <v>Tier2_indor2_HZ3_zonlHeatkwh</v>
      </c>
      <c r="C238" s="24" t="str">
        <f>Composite!B272</f>
        <v>Tier2_indor2_HZ3_zonl</v>
      </c>
      <c r="D238" s="24" t="str">
        <f>Composite!C272</f>
        <v>Heatkwh</v>
      </c>
      <c r="E238" s="44">
        <f>Composite!D272</f>
        <v>-47.25861014871316</v>
      </c>
      <c r="F238" s="24">
        <f>Composite!E272</f>
        <v>13</v>
      </c>
      <c r="G238" s="24">
        <f>Composite!F272</f>
        <v>0</v>
      </c>
      <c r="H238" s="24">
        <f>Composite!G272</f>
        <v>0</v>
      </c>
      <c r="I238" s="24" t="str">
        <f>Composite!H272</f>
        <v>ResSpHtBBZ3</v>
      </c>
      <c r="J238" s="24">
        <f>Composite!I272</f>
        <v>-0.47131370199922618</v>
      </c>
      <c r="K238" s="24">
        <f>Composite!J272</f>
        <v>0</v>
      </c>
      <c r="L238" s="24">
        <f>Composite!K272</f>
        <v>0</v>
      </c>
      <c r="M238" s="24">
        <f>Composite!L272</f>
        <v>0</v>
      </c>
      <c r="N238" s="24">
        <f>Composite!M272</f>
        <v>0</v>
      </c>
      <c r="O238" s="24">
        <f>Composite!N272</f>
        <v>0</v>
      </c>
      <c r="P238" s="24">
        <f>Composite!O272</f>
        <v>0</v>
      </c>
      <c r="Q238" s="24">
        <f>Composite!P272</f>
        <v>-3.5457100285421816E-2</v>
      </c>
      <c r="R238" s="24" t="str">
        <f>Composite!Q272</f>
        <v>ResSpHtBBZ3</v>
      </c>
    </row>
    <row r="239" spans="1:18" ht="25.5">
      <c r="A239" t="s">
        <v>53</v>
      </c>
      <c r="B239" t="str">
        <f t="shared" si="4"/>
        <v>Tier2_indor2_HZ3_zonlCoolkwh</v>
      </c>
      <c r="C239" s="24" t="str">
        <f>Composite!B273</f>
        <v>Tier2_indor2_HZ3_zonl</v>
      </c>
      <c r="D239" s="24" t="str">
        <f>Composite!C273</f>
        <v>Coolkwh</v>
      </c>
      <c r="E239" s="24">
        <f>Composite!D273</f>
        <v>0</v>
      </c>
      <c r="F239" s="24">
        <f>Composite!E273</f>
        <v>13</v>
      </c>
      <c r="G239" s="24">
        <f>Composite!F273</f>
        <v>0</v>
      </c>
      <c r="H239" s="24">
        <f>Composite!G273</f>
        <v>0</v>
      </c>
      <c r="I239" s="24" t="str">
        <f>Composite!H273</f>
        <v>ResCACPNW</v>
      </c>
      <c r="J239" s="24">
        <f>Composite!I273</f>
        <v>-0.47131370199922618</v>
      </c>
      <c r="K239" s="24">
        <f>Composite!J273</f>
        <v>0</v>
      </c>
      <c r="L239" s="24">
        <f>Composite!K273</f>
        <v>0</v>
      </c>
      <c r="M239" s="24">
        <f>Composite!L273</f>
        <v>0</v>
      </c>
      <c r="N239" s="24">
        <f>Composite!M273</f>
        <v>0</v>
      </c>
      <c r="O239" s="24">
        <f>Composite!N273</f>
        <v>0</v>
      </c>
      <c r="P239" s="24">
        <f>Composite!O273</f>
        <v>0</v>
      </c>
      <c r="Q239" s="24">
        <f>Composite!P273</f>
        <v>0</v>
      </c>
      <c r="R239" s="24" t="str">
        <f>Composite!Q273</f>
        <v/>
      </c>
    </row>
    <row r="240" spans="1:18">
      <c r="C240" s="24"/>
      <c r="D240" s="24"/>
      <c r="E240" s="24"/>
      <c r="F240" s="24"/>
      <c r="G240" s="24"/>
      <c r="H240" s="24"/>
      <c r="I240" s="24"/>
      <c r="J240" s="24"/>
      <c r="K240" s="24"/>
      <c r="L240" s="24"/>
      <c r="M240" s="24"/>
      <c r="N240" s="24"/>
      <c r="O240" s="24"/>
      <c r="P240" s="24"/>
      <c r="Q240" s="24"/>
    </row>
    <row r="241" spans="1:107">
      <c r="C241" s="24"/>
      <c r="D241" s="24"/>
      <c r="E241" s="24"/>
      <c r="F241" s="24"/>
      <c r="G241" s="24"/>
      <c r="H241" s="24"/>
      <c r="I241" s="24"/>
      <c r="J241" s="24"/>
      <c r="K241" s="24"/>
      <c r="L241" s="24"/>
      <c r="M241" s="24"/>
      <c r="N241" s="24"/>
      <c r="O241" s="24"/>
      <c r="P241" s="24"/>
      <c r="Q241" s="24"/>
    </row>
    <row r="244" spans="1:107">
      <c r="A244" s="42" t="s">
        <v>441</v>
      </c>
      <c r="B244" s="42"/>
      <c r="C244" s="42"/>
      <c r="E244">
        <v>4</v>
      </c>
      <c r="F244">
        <v>5</v>
      </c>
      <c r="G244">
        <v>6</v>
      </c>
      <c r="H244">
        <v>7</v>
      </c>
      <c r="I244">
        <v>8</v>
      </c>
      <c r="J244">
        <v>9</v>
      </c>
      <c r="K244">
        <v>10</v>
      </c>
      <c r="L244">
        <v>11</v>
      </c>
      <c r="M244">
        <v>12</v>
      </c>
      <c r="N244">
        <v>13</v>
      </c>
      <c r="O244">
        <v>14</v>
      </c>
      <c r="P244">
        <v>15</v>
      </c>
      <c r="Q244">
        <v>16</v>
      </c>
      <c r="R244">
        <v>17</v>
      </c>
    </row>
    <row r="245" spans="1:107" s="7" customFormat="1">
      <c r="C245" s="213" t="s">
        <v>3</v>
      </c>
      <c r="D245" s="214"/>
      <c r="E245" s="214"/>
      <c r="F245" s="214"/>
      <c r="G245" s="214"/>
      <c r="H245" s="214"/>
      <c r="I245" s="214"/>
      <c r="J245" s="215"/>
      <c r="K245" s="216" t="s">
        <v>4</v>
      </c>
      <c r="L245" s="217"/>
      <c r="M245" s="217"/>
      <c r="N245" s="217"/>
      <c r="O245" s="217"/>
      <c r="P245" s="218"/>
      <c r="Q245" s="219" t="s">
        <v>5</v>
      </c>
      <c r="R245" s="220"/>
      <c r="S245" s="16"/>
      <c r="T245" s="17"/>
      <c r="U245" s="17"/>
      <c r="V245" s="17"/>
      <c r="W245" s="17"/>
      <c r="X245" s="17"/>
      <c r="Y245" s="17"/>
      <c r="Z245" s="18"/>
      <c r="AA245" s="19"/>
      <c r="AB245" s="17"/>
      <c r="AC245" s="17"/>
      <c r="AD245" s="17"/>
      <c r="AE245" s="17"/>
      <c r="AF245" s="17"/>
      <c r="AG245" s="20"/>
      <c r="AH245" s="20"/>
      <c r="AI245" s="20"/>
      <c r="AJ245" s="20"/>
      <c r="AK245" s="20"/>
      <c r="AL245" s="20"/>
      <c r="AM245" s="20"/>
      <c r="AN245" s="20"/>
      <c r="AO245" s="20"/>
      <c r="AP245" s="20"/>
      <c r="AQ245" s="20"/>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row>
    <row r="246" spans="1:107" ht="38.25">
      <c r="A246" s="7" t="s">
        <v>48</v>
      </c>
      <c r="B246" s="7"/>
      <c r="C246" s="21" t="s">
        <v>6</v>
      </c>
      <c r="D246" s="21" t="s">
        <v>7</v>
      </c>
      <c r="E246" s="21" t="s">
        <v>8</v>
      </c>
      <c r="F246" s="21" t="s">
        <v>9</v>
      </c>
      <c r="G246" s="21" t="s">
        <v>10</v>
      </c>
      <c r="H246" s="21" t="s">
        <v>11</v>
      </c>
      <c r="I246" s="21" t="s">
        <v>12</v>
      </c>
      <c r="J246" s="21" t="s">
        <v>13</v>
      </c>
      <c r="K246" s="21" t="s">
        <v>14</v>
      </c>
      <c r="L246" s="21" t="s">
        <v>15</v>
      </c>
      <c r="M246" s="21" t="s">
        <v>16</v>
      </c>
      <c r="N246" s="21" t="s">
        <v>17</v>
      </c>
      <c r="O246" s="21" t="s">
        <v>18</v>
      </c>
      <c r="P246" s="21" t="s">
        <v>19</v>
      </c>
      <c r="Q246" s="22" t="s">
        <v>20</v>
      </c>
      <c r="R246" s="21" t="s">
        <v>12</v>
      </c>
    </row>
    <row r="247" spans="1:107">
      <c r="A247" t="str">
        <f t="shared" ref="A247:A267" si="5">A6</f>
        <v>Single Family</v>
      </c>
      <c r="C247" t="str">
        <f>LEFT(C6,FIND("_HZ",C6)-1)</f>
        <v>Tier1_garage</v>
      </c>
      <c r="D247" t="str">
        <f>D6</f>
        <v>DHWkwh</v>
      </c>
      <c r="E247" s="43">
        <f>SUM(E6*weighting!$D$6,Segmented!E9*weighting!$D$7,Segmented!E12*weighting!$D$8)</f>
        <v>962.49220761041363</v>
      </c>
      <c r="F247">
        <f t="shared" ref="F247:R247" si="6">F6</f>
        <v>13</v>
      </c>
      <c r="G247">
        <f t="shared" si="6"/>
        <v>724.5875237038573</v>
      </c>
      <c r="H247">
        <f t="shared" si="6"/>
        <v>0</v>
      </c>
      <c r="I247" t="str">
        <f t="shared" si="6"/>
        <v>ResDHW</v>
      </c>
      <c r="J247">
        <f t="shared" si="6"/>
        <v>0</v>
      </c>
      <c r="K247">
        <f t="shared" si="6"/>
        <v>0</v>
      </c>
      <c r="L247">
        <f t="shared" si="6"/>
        <v>0</v>
      </c>
      <c r="M247">
        <f t="shared" si="6"/>
        <v>0</v>
      </c>
      <c r="N247">
        <f t="shared" si="6"/>
        <v>0</v>
      </c>
      <c r="O247">
        <f t="shared" si="6"/>
        <v>0</v>
      </c>
      <c r="P247">
        <f t="shared" si="6"/>
        <v>0</v>
      </c>
      <c r="Q247">
        <f t="shared" si="6"/>
        <v>0</v>
      </c>
      <c r="R247" t="str">
        <f t="shared" si="6"/>
        <v/>
      </c>
    </row>
    <row r="248" spans="1:107">
      <c r="A248" t="str">
        <f t="shared" si="5"/>
        <v>Single Family</v>
      </c>
      <c r="C248" t="str">
        <f t="shared" ref="C248:C249" si="7">LEFT(C7,FIND("_HZ",C7)-1)</f>
        <v>Tier1_garage</v>
      </c>
      <c r="D248" t="str">
        <f t="shared" ref="D248" si="8">D7</f>
        <v>Heatkwh</v>
      </c>
      <c r="E248" s="43">
        <f>SUM(E7*weighting!$D$6,Segmented!E10*weighting!$D$7,Segmented!E13*weighting!$D$8)</f>
        <v>0</v>
      </c>
      <c r="F248">
        <f t="shared" ref="F248:R248" si="9">F7</f>
        <v>13</v>
      </c>
      <c r="G248">
        <f t="shared" si="9"/>
        <v>0</v>
      </c>
      <c r="H248">
        <f t="shared" si="9"/>
        <v>0</v>
      </c>
      <c r="I248" t="str">
        <f t="shared" si="9"/>
        <v>ResSpHtFAFZ1</v>
      </c>
      <c r="J248">
        <f t="shared" si="9"/>
        <v>0</v>
      </c>
      <c r="K248">
        <f t="shared" si="9"/>
        <v>0</v>
      </c>
      <c r="L248">
        <f t="shared" si="9"/>
        <v>0</v>
      </c>
      <c r="M248">
        <f t="shared" si="9"/>
        <v>0</v>
      </c>
      <c r="N248">
        <f t="shared" si="9"/>
        <v>0</v>
      </c>
      <c r="O248">
        <f t="shared" si="9"/>
        <v>0</v>
      </c>
      <c r="P248">
        <f t="shared" si="9"/>
        <v>0</v>
      </c>
      <c r="Q248">
        <f t="shared" si="9"/>
        <v>0</v>
      </c>
      <c r="R248" t="str">
        <f t="shared" si="9"/>
        <v/>
      </c>
    </row>
    <row r="249" spans="1:107">
      <c r="A249" t="str">
        <f t="shared" si="5"/>
        <v>Single Family</v>
      </c>
      <c r="C249" t="str">
        <f t="shared" si="7"/>
        <v>Tier1_garage</v>
      </c>
      <c r="D249" t="str">
        <f t="shared" ref="D249" si="10">D8</f>
        <v>Coolkwh</v>
      </c>
      <c r="E249" s="43">
        <f>SUM(E8*weighting!$D$6,Segmented!E11*weighting!$D$7,Segmented!E14*weighting!$D$8)</f>
        <v>0</v>
      </c>
      <c r="F249">
        <f t="shared" ref="F249:R249" si="11">F8</f>
        <v>13</v>
      </c>
      <c r="G249">
        <f t="shared" si="11"/>
        <v>0</v>
      </c>
      <c r="H249">
        <f t="shared" si="11"/>
        <v>0</v>
      </c>
      <c r="I249" t="str">
        <f t="shared" si="11"/>
        <v>ResCACPNW</v>
      </c>
      <c r="J249">
        <f t="shared" si="11"/>
        <v>0</v>
      </c>
      <c r="K249">
        <f t="shared" si="11"/>
        <v>0</v>
      </c>
      <c r="L249">
        <f t="shared" si="11"/>
        <v>0</v>
      </c>
      <c r="M249">
        <f t="shared" si="11"/>
        <v>0</v>
      </c>
      <c r="N249">
        <f t="shared" si="11"/>
        <v>0</v>
      </c>
      <c r="O249">
        <f t="shared" si="11"/>
        <v>0</v>
      </c>
      <c r="P249">
        <f t="shared" si="11"/>
        <v>0</v>
      </c>
      <c r="Q249">
        <f t="shared" si="11"/>
        <v>0</v>
      </c>
      <c r="R249" t="str">
        <f t="shared" si="11"/>
        <v/>
      </c>
    </row>
    <row r="250" spans="1:107">
      <c r="A250" t="str">
        <f t="shared" si="5"/>
        <v>Single Family</v>
      </c>
      <c r="C250" t="str">
        <f>LEFT(C15,FIND("_HZ",C15)-1)</f>
        <v>Tier1_basmnt</v>
      </c>
      <c r="D250" t="str">
        <f>D15</f>
        <v>DHWkwh</v>
      </c>
      <c r="E250" s="43">
        <f>SUM(E15*weighting!$D$6,Segmented!E18*weighting!$D$7,Segmented!E21*weighting!$D$8)</f>
        <v>1126.4186745667164</v>
      </c>
      <c r="F250">
        <f>F15</f>
        <v>13</v>
      </c>
      <c r="G250">
        <f>G15</f>
        <v>724.5875237038573</v>
      </c>
      <c r="H250">
        <f>H15</f>
        <v>0</v>
      </c>
      <c r="I250" t="str">
        <f>I15</f>
        <v>ResDHW</v>
      </c>
      <c r="J250">
        <f>J15</f>
        <v>0</v>
      </c>
      <c r="K250">
        <f t="shared" ref="K250:R250" si="12">K15</f>
        <v>0</v>
      </c>
      <c r="L250">
        <f t="shared" si="12"/>
        <v>0</v>
      </c>
      <c r="M250">
        <f t="shared" si="12"/>
        <v>0</v>
      </c>
      <c r="N250">
        <f t="shared" si="12"/>
        <v>0</v>
      </c>
      <c r="O250">
        <f t="shared" si="12"/>
        <v>0</v>
      </c>
      <c r="P250">
        <f t="shared" si="12"/>
        <v>0</v>
      </c>
      <c r="Q250">
        <f t="shared" si="12"/>
        <v>0</v>
      </c>
      <c r="R250" t="str">
        <f t="shared" si="12"/>
        <v/>
      </c>
    </row>
    <row r="251" spans="1:107">
      <c r="A251" t="str">
        <f t="shared" si="5"/>
        <v>Single Family</v>
      </c>
      <c r="C251" t="str">
        <f>LEFT(C16,FIND("_HZ",C16)-1)</f>
        <v>Tier1_basmnt</v>
      </c>
      <c r="D251" t="str">
        <f t="shared" ref="D251:F252" si="13">D16</f>
        <v>Heatkwh</v>
      </c>
      <c r="E251" s="43">
        <f>SUM(E16*weighting!$D$6,Segmented!E19*weighting!$D$7,Segmented!E22*weighting!$D$8)</f>
        <v>0</v>
      </c>
      <c r="F251">
        <f t="shared" si="13"/>
        <v>13</v>
      </c>
      <c r="G251">
        <f t="shared" ref="G251:R251" si="14">G16</f>
        <v>0</v>
      </c>
      <c r="H251">
        <f t="shared" si="14"/>
        <v>0</v>
      </c>
      <c r="I251" t="str">
        <f t="shared" si="14"/>
        <v>ResSpHtFAFZ1</v>
      </c>
      <c r="J251">
        <f t="shared" si="14"/>
        <v>0</v>
      </c>
      <c r="K251">
        <f t="shared" si="14"/>
        <v>0</v>
      </c>
      <c r="L251">
        <f t="shared" si="14"/>
        <v>0</v>
      </c>
      <c r="M251">
        <f t="shared" si="14"/>
        <v>0</v>
      </c>
      <c r="N251">
        <f t="shared" si="14"/>
        <v>0</v>
      </c>
      <c r="O251">
        <f t="shared" si="14"/>
        <v>0</v>
      </c>
      <c r="P251">
        <f t="shared" si="14"/>
        <v>0</v>
      </c>
      <c r="Q251">
        <f t="shared" si="14"/>
        <v>0</v>
      </c>
      <c r="R251" t="str">
        <f t="shared" si="14"/>
        <v/>
      </c>
    </row>
    <row r="252" spans="1:107">
      <c r="A252" t="str">
        <f t="shared" si="5"/>
        <v>Single Family</v>
      </c>
      <c r="C252" t="str">
        <f>LEFT(C17,FIND("_HZ",C17)-1)</f>
        <v>Tier1_basmnt</v>
      </c>
      <c r="D252" t="str">
        <f t="shared" si="13"/>
        <v>Coolkwh</v>
      </c>
      <c r="E252" s="43">
        <f>SUM(E17*weighting!$D$6,Segmented!E20*weighting!$D$7,Segmented!E23*weighting!$D$8)</f>
        <v>0</v>
      </c>
      <c r="F252">
        <f t="shared" si="13"/>
        <v>13</v>
      </c>
      <c r="G252">
        <f t="shared" ref="G252:R252" si="15">G17</f>
        <v>0</v>
      </c>
      <c r="H252">
        <f t="shared" si="15"/>
        <v>0</v>
      </c>
      <c r="I252" t="str">
        <f t="shared" si="15"/>
        <v>ResCACPNW</v>
      </c>
      <c r="J252">
        <f t="shared" si="15"/>
        <v>0</v>
      </c>
      <c r="K252">
        <f t="shared" si="15"/>
        <v>0</v>
      </c>
      <c r="L252">
        <f t="shared" si="15"/>
        <v>0</v>
      </c>
      <c r="M252">
        <f t="shared" si="15"/>
        <v>0</v>
      </c>
      <c r="N252">
        <f t="shared" si="15"/>
        <v>0</v>
      </c>
      <c r="O252">
        <f t="shared" si="15"/>
        <v>0</v>
      </c>
      <c r="P252">
        <f t="shared" si="15"/>
        <v>0</v>
      </c>
      <c r="Q252">
        <f t="shared" si="15"/>
        <v>0</v>
      </c>
      <c r="R252" t="str">
        <f t="shared" si="15"/>
        <v/>
      </c>
    </row>
    <row r="253" spans="1:107">
      <c r="A253" t="str">
        <f t="shared" si="5"/>
        <v>Single Family</v>
      </c>
      <c r="C253" t="str">
        <f>CONCATENATE(LEFT(C24,FIND("_HZ",C72)-1),"_",RIGHT(C24,4))</f>
        <v>Tier1_indor2_gfnc</v>
      </c>
      <c r="D253" t="str">
        <f>D24</f>
        <v>DHWkwh</v>
      </c>
      <c r="E253" s="43">
        <f>SUM(E24*weighting!$D$6,Segmented!E39*weighting!$D$7,Segmented!E54*weighting!$D$8)</f>
        <v>1262.9314874582285</v>
      </c>
      <c r="F253">
        <f>F24</f>
        <v>13</v>
      </c>
      <c r="G253" s="43">
        <f>SUM(G24*weighting!$D$6,Segmented!G39*weighting!$D$7,Segmented!G54*weighting!$D$8)</f>
        <v>724.58752370386082</v>
      </c>
      <c r="H253" s="43">
        <f>SUM(H24*weighting!$D$6,Segmented!H39*weighting!$D$7,Segmented!H54*weighting!$D$8)</f>
        <v>0</v>
      </c>
      <c r="I253" t="str">
        <f>I24</f>
        <v>ResDHW</v>
      </c>
      <c r="J253" s="43">
        <f>SUM(J24*weighting!$D$6,Segmented!J39*weighting!$D$7,Segmented!J54*weighting!$D$8)</f>
        <v>-4.9255579747381395</v>
      </c>
      <c r="K253" s="43">
        <f>SUM(K24*weighting!$D$6,Segmented!K39*weighting!$D$7,Segmented!K54*weighting!$D$8)</f>
        <v>0</v>
      </c>
      <c r="L253">
        <f>L24</f>
        <v>0</v>
      </c>
      <c r="M253" s="43">
        <f>SUM(M24*weighting!$D$6,Segmented!M39*weighting!$D$7,Segmented!M54*weighting!$D$8)</f>
        <v>0</v>
      </c>
      <c r="N253">
        <f>N24</f>
        <v>0</v>
      </c>
      <c r="O253" s="43">
        <f>SUM(O24*weighting!$D$6,Segmented!O39*weighting!$D$7,Segmented!O54*weighting!$D$8)</f>
        <v>0</v>
      </c>
      <c r="P253">
        <f>P24</f>
        <v>0</v>
      </c>
      <c r="Q253" s="43">
        <f>SUM(Q24*weighting!$D$6,Segmented!Q39*weighting!$D$7,Segmented!Q54*weighting!$D$8)</f>
        <v>0</v>
      </c>
      <c r="R253" t="str">
        <f>R24</f>
        <v/>
      </c>
    </row>
    <row r="254" spans="1:107">
      <c r="A254" t="str">
        <f t="shared" si="5"/>
        <v>Single Family</v>
      </c>
      <c r="C254" t="str">
        <f t="shared" ref="C254:C267" si="16">CONCATENATE(LEFT(C25,FIND("_HZ",C73)-1),"_",RIGHT(C25,4))</f>
        <v>Tier1_indor2_gfnc</v>
      </c>
      <c r="D254" t="str">
        <f t="shared" ref="D254:D267" si="17">D25</f>
        <v>Heatkwh</v>
      </c>
      <c r="E254" s="43">
        <f>SUM(E25*weighting!$D$6,Segmented!E40*weighting!$D$7,Segmented!E55*weighting!$D$8)</f>
        <v>-12.937686790988048</v>
      </c>
      <c r="F254">
        <f t="shared" ref="F254:F267" si="18">F25</f>
        <v>13</v>
      </c>
      <c r="G254" s="43">
        <f>SUM(G25*weighting!$D$6,Segmented!G40*weighting!$D$7,Segmented!G55*weighting!$D$8)</f>
        <v>0</v>
      </c>
      <c r="H254" s="43">
        <f>SUM(H25*weighting!$D$6,Segmented!H40*weighting!$D$7,Segmented!H55*weighting!$D$8)</f>
        <v>0</v>
      </c>
      <c r="I254" t="str">
        <f t="shared" ref="I254:I267" si="19">I25</f>
        <v>ResSpHtFAFZ1</v>
      </c>
      <c r="J254" s="43">
        <f>SUM(J25*weighting!$D$6,Segmented!J40*weighting!$D$7,Segmented!J55*weighting!$D$8)</f>
        <v>-4.9255579747381395</v>
      </c>
      <c r="K254" s="43">
        <f>SUM(K25*weighting!$D$6,Segmented!K40*weighting!$D$7,Segmented!K55*weighting!$D$8)</f>
        <v>0</v>
      </c>
      <c r="L254">
        <f t="shared" ref="L254:L267" si="20">L25</f>
        <v>0</v>
      </c>
      <c r="M254" s="43">
        <f>SUM(M25*weighting!$D$6,Segmented!M40*weighting!$D$7,Segmented!M55*weighting!$D$8)</f>
        <v>0</v>
      </c>
      <c r="N254">
        <f t="shared" ref="N254:N267" si="21">N25</f>
        <v>0</v>
      </c>
      <c r="O254" s="43">
        <f>SUM(O25*weighting!$D$6,Segmented!O40*weighting!$D$7,Segmented!O55*weighting!$D$8)</f>
        <v>0</v>
      </c>
      <c r="P254">
        <f t="shared" ref="P254:P267" si="22">P25</f>
        <v>0</v>
      </c>
      <c r="Q254" s="43">
        <f>SUM(Q25*weighting!$D$6,Segmented!Q40*weighting!$D$7,Segmented!Q55*weighting!$D$8)</f>
        <v>-19.089591168950285</v>
      </c>
      <c r="R254" t="str">
        <f t="shared" ref="R254:R267" si="23">R25</f>
        <v>ResSpHtFAFZ1</v>
      </c>
    </row>
    <row r="255" spans="1:107">
      <c r="A255" t="str">
        <f t="shared" si="5"/>
        <v>Single Family</v>
      </c>
      <c r="C255" t="str">
        <f t="shared" si="16"/>
        <v>Tier1_indor2_gfnc</v>
      </c>
      <c r="D255" t="str">
        <f t="shared" si="17"/>
        <v>Coolkwh</v>
      </c>
      <c r="E255" s="43">
        <f>SUM(E26*weighting!$D$6,Segmented!E41*weighting!$D$7,Segmented!E56*weighting!$D$8)</f>
        <v>0</v>
      </c>
      <c r="F255">
        <f t="shared" si="18"/>
        <v>13</v>
      </c>
      <c r="G255" s="43">
        <f>SUM(G26*weighting!$D$6,Segmented!G41*weighting!$D$7,Segmented!G56*weighting!$D$8)</f>
        <v>0</v>
      </c>
      <c r="H255" s="43">
        <f>SUM(H26*weighting!$D$6,Segmented!H41*weighting!$D$7,Segmented!H56*weighting!$D$8)</f>
        <v>0</v>
      </c>
      <c r="I255" t="str">
        <f t="shared" si="19"/>
        <v>ResCACPNW</v>
      </c>
      <c r="J255" s="43">
        <f>SUM(J26*weighting!$D$6,Segmented!J41*weighting!$D$7,Segmented!J56*weighting!$D$8)</f>
        <v>-4.9255579747381395</v>
      </c>
      <c r="K255" s="43">
        <f>SUM(K26*weighting!$D$6,Segmented!K41*weighting!$D$7,Segmented!K56*weighting!$D$8)</f>
        <v>0</v>
      </c>
      <c r="L255">
        <f t="shared" si="20"/>
        <v>0</v>
      </c>
      <c r="M255" s="43">
        <f>SUM(M26*weighting!$D$6,Segmented!M41*weighting!$D$7,Segmented!M56*weighting!$D$8)</f>
        <v>0</v>
      </c>
      <c r="N255">
        <f t="shared" si="21"/>
        <v>0</v>
      </c>
      <c r="O255" s="43">
        <f>SUM(O26*weighting!$D$6,Segmented!O41*weighting!$D$7,Segmented!O56*weighting!$D$8)</f>
        <v>0</v>
      </c>
      <c r="P255">
        <f t="shared" si="22"/>
        <v>0</v>
      </c>
      <c r="Q255" s="43">
        <f>SUM(Q26*weighting!$D$6,Segmented!Q41*weighting!$D$7,Segmented!Q56*weighting!$D$8)</f>
        <v>0</v>
      </c>
      <c r="R255" t="str">
        <f t="shared" si="23"/>
        <v/>
      </c>
    </row>
    <row r="256" spans="1:107">
      <c r="A256" t="str">
        <f t="shared" si="5"/>
        <v>Single Family</v>
      </c>
      <c r="C256" t="str">
        <f t="shared" si="16"/>
        <v>Tier1_indor2_gfac</v>
      </c>
      <c r="D256" t="str">
        <f t="shared" si="17"/>
        <v>DHWkwh</v>
      </c>
      <c r="E256" s="43">
        <f>SUM(E27*weighting!$D$6,Segmented!E42*weighting!$D$7,Segmented!E57*weighting!$D$8)</f>
        <v>1249.1941493493205</v>
      </c>
      <c r="F256">
        <f t="shared" si="18"/>
        <v>13</v>
      </c>
      <c r="G256" s="43">
        <f>SUM(G27*weighting!$D$6,Segmented!G42*weighting!$D$7,Segmented!G57*weighting!$D$8)</f>
        <v>724.58752370386082</v>
      </c>
      <c r="H256" s="43">
        <f>SUM(H27*weighting!$D$6,Segmented!H42*weighting!$D$7,Segmented!H57*weighting!$D$8)</f>
        <v>0</v>
      </c>
      <c r="I256" t="str">
        <f t="shared" si="19"/>
        <v>ResDHW</v>
      </c>
      <c r="J256" s="43">
        <f>SUM(J27*weighting!$D$6,Segmented!J42*weighting!$D$7,Segmented!J57*weighting!$D$8)</f>
        <v>-4.9771646852628919</v>
      </c>
      <c r="K256" s="43">
        <f>SUM(K27*weighting!$D$6,Segmented!K42*weighting!$D$7,Segmented!K57*weighting!$D$8)</f>
        <v>0</v>
      </c>
      <c r="L256">
        <f t="shared" si="20"/>
        <v>0</v>
      </c>
      <c r="M256" s="43">
        <f>SUM(M27*weighting!$D$6,Segmented!M42*weighting!$D$7,Segmented!M57*weighting!$D$8)</f>
        <v>0</v>
      </c>
      <c r="N256">
        <f t="shared" si="21"/>
        <v>0</v>
      </c>
      <c r="O256" s="43">
        <f>SUM(O27*weighting!$D$6,Segmented!O42*weighting!$D$7,Segmented!O57*weighting!$D$8)</f>
        <v>0</v>
      </c>
      <c r="P256">
        <f t="shared" si="22"/>
        <v>0</v>
      </c>
      <c r="Q256" s="43">
        <f>SUM(Q27*weighting!$D$6,Segmented!Q42*weighting!$D$7,Segmented!Q57*weighting!$D$8)</f>
        <v>0</v>
      </c>
      <c r="R256" t="str">
        <f t="shared" si="23"/>
        <v/>
      </c>
    </row>
    <row r="257" spans="1:18">
      <c r="A257" t="str">
        <f t="shared" si="5"/>
        <v>Single Family</v>
      </c>
      <c r="C257" t="str">
        <f t="shared" si="16"/>
        <v>Tier1_indor2_gfac</v>
      </c>
      <c r="D257" t="str">
        <f t="shared" si="17"/>
        <v>Heatkwh</v>
      </c>
      <c r="E257" s="43">
        <f>SUM(E28*weighting!$D$6,Segmented!E43*weighting!$D$7,Segmented!E58*weighting!$D$8)</f>
        <v>-14.21533115333802</v>
      </c>
      <c r="F257">
        <f t="shared" si="18"/>
        <v>13</v>
      </c>
      <c r="G257" s="43">
        <f>SUM(G28*weighting!$D$6,Segmented!G43*weighting!$D$7,Segmented!G58*weighting!$D$8)</f>
        <v>0</v>
      </c>
      <c r="H257" s="43">
        <f>SUM(H28*weighting!$D$6,Segmented!H43*weighting!$D$7,Segmented!H58*weighting!$D$8)</f>
        <v>0</v>
      </c>
      <c r="I257" t="str">
        <f t="shared" si="19"/>
        <v>ResSpHtFAFZ1</v>
      </c>
      <c r="J257" s="43">
        <f>SUM(J28*weighting!$D$6,Segmented!J43*weighting!$D$7,Segmented!J58*weighting!$D$8)</f>
        <v>-4.9771646852628919</v>
      </c>
      <c r="K257" s="43">
        <f>SUM(K28*weighting!$D$6,Segmented!K43*weighting!$D$7,Segmented!K58*weighting!$D$8)</f>
        <v>0</v>
      </c>
      <c r="L257">
        <f t="shared" si="20"/>
        <v>0</v>
      </c>
      <c r="M257" s="43">
        <f>SUM(M28*weighting!$D$6,Segmented!M43*weighting!$D$7,Segmented!M58*weighting!$D$8)</f>
        <v>0</v>
      </c>
      <c r="N257">
        <f t="shared" si="21"/>
        <v>0</v>
      </c>
      <c r="O257" s="43">
        <f>SUM(O28*weighting!$D$6,Segmented!O43*weighting!$D$7,Segmented!O58*weighting!$D$8)</f>
        <v>0</v>
      </c>
      <c r="P257">
        <f t="shared" si="22"/>
        <v>0</v>
      </c>
      <c r="Q257" s="43">
        <f>SUM(Q28*weighting!$D$6,Segmented!Q43*weighting!$D$7,Segmented!Q58*weighting!$D$8)</f>
        <v>-19.245784201841445</v>
      </c>
      <c r="R257" t="str">
        <f t="shared" si="23"/>
        <v>ResSpHtFAFZ1</v>
      </c>
    </row>
    <row r="258" spans="1:18">
      <c r="A258" t="str">
        <f t="shared" si="5"/>
        <v>Single Family</v>
      </c>
      <c r="C258" t="str">
        <f t="shared" si="16"/>
        <v>Tier1_indor2_gfac</v>
      </c>
      <c r="D258" t="str">
        <f t="shared" si="17"/>
        <v>Coolkwh</v>
      </c>
      <c r="E258" s="43">
        <f>SUM(E29*weighting!$D$6,Segmented!E44*weighting!$D$7,Segmented!E59*weighting!$D$8)</f>
        <v>30.496074316971505</v>
      </c>
      <c r="F258">
        <f t="shared" si="18"/>
        <v>13</v>
      </c>
      <c r="G258" s="43">
        <f>SUM(G29*weighting!$D$6,Segmented!G44*weighting!$D$7,Segmented!G59*weighting!$D$8)</f>
        <v>0</v>
      </c>
      <c r="H258" s="43">
        <f>SUM(H29*weighting!$D$6,Segmented!H44*weighting!$D$7,Segmented!H59*weighting!$D$8)</f>
        <v>0</v>
      </c>
      <c r="I258" t="str">
        <f t="shared" si="19"/>
        <v>ResCACPNW</v>
      </c>
      <c r="J258" s="43">
        <f>SUM(J29*weighting!$D$6,Segmented!J44*weighting!$D$7,Segmented!J59*weighting!$D$8)</f>
        <v>-4.9771646852628919</v>
      </c>
      <c r="K258" s="43">
        <f>SUM(K29*weighting!$D$6,Segmented!K44*weighting!$D$7,Segmented!K59*weighting!$D$8)</f>
        <v>0</v>
      </c>
      <c r="L258">
        <f t="shared" si="20"/>
        <v>0</v>
      </c>
      <c r="M258" s="43">
        <f>SUM(M29*weighting!$D$6,Segmented!M44*weighting!$D$7,Segmented!M59*weighting!$D$8)</f>
        <v>0</v>
      </c>
      <c r="N258">
        <f t="shared" si="21"/>
        <v>0</v>
      </c>
      <c r="O258" s="43">
        <f>SUM(O29*weighting!$D$6,Segmented!O44*weighting!$D$7,Segmented!O59*weighting!$D$8)</f>
        <v>0</v>
      </c>
      <c r="P258">
        <f t="shared" si="22"/>
        <v>0</v>
      </c>
      <c r="Q258" s="43">
        <f>SUM(Q29*weighting!$D$6,Segmented!Q44*weighting!$D$7,Segmented!Q59*weighting!$D$8)</f>
        <v>0</v>
      </c>
      <c r="R258" t="str">
        <f t="shared" si="23"/>
        <v/>
      </c>
    </row>
    <row r="259" spans="1:18">
      <c r="A259" t="str">
        <f t="shared" si="5"/>
        <v>Single Family</v>
      </c>
      <c r="C259" t="str">
        <f t="shared" si="16"/>
        <v>Tier1_indor2_efaf</v>
      </c>
      <c r="D259" t="str">
        <f t="shared" si="17"/>
        <v>DHWkwh</v>
      </c>
      <c r="E259" s="43">
        <f>SUM(E30*weighting!$D$6,Segmented!E45*weighting!$D$7,Segmented!E60*weighting!$D$8)</f>
        <v>1262.9314874582285</v>
      </c>
      <c r="F259">
        <f t="shared" si="18"/>
        <v>13</v>
      </c>
      <c r="G259" s="43">
        <f>SUM(G30*weighting!$D$6,Segmented!G45*weighting!$D$7,Segmented!G60*weighting!$D$8)</f>
        <v>724.58752370386082</v>
      </c>
      <c r="H259" s="43">
        <f>SUM(H30*weighting!$D$6,Segmented!H45*weighting!$D$7,Segmented!H60*weighting!$D$8)</f>
        <v>0</v>
      </c>
      <c r="I259" t="str">
        <f t="shared" si="19"/>
        <v>ResDHW</v>
      </c>
      <c r="J259" s="43">
        <f>SUM(J30*weighting!$D$6,Segmented!J45*weighting!$D$7,Segmented!J60*weighting!$D$8)</f>
        <v>-3.4721159669139707</v>
      </c>
      <c r="K259" s="43">
        <f>SUM(K30*weighting!$D$6,Segmented!K45*weighting!$D$7,Segmented!K60*weighting!$D$8)</f>
        <v>0</v>
      </c>
      <c r="L259">
        <f t="shared" si="20"/>
        <v>0</v>
      </c>
      <c r="M259" s="43">
        <f>SUM(M30*weighting!$D$6,Segmented!M45*weighting!$D$7,Segmented!M60*weighting!$D$8)</f>
        <v>0</v>
      </c>
      <c r="N259">
        <f t="shared" si="21"/>
        <v>0</v>
      </c>
      <c r="O259" s="43">
        <f>SUM(O30*weighting!$D$6,Segmented!O45*weighting!$D$7,Segmented!O60*weighting!$D$8)</f>
        <v>0</v>
      </c>
      <c r="P259">
        <f t="shared" si="22"/>
        <v>0</v>
      </c>
      <c r="Q259" s="43">
        <f>SUM(Q30*weighting!$D$6,Segmented!Q45*weighting!$D$7,Segmented!Q60*weighting!$D$8)</f>
        <v>0</v>
      </c>
      <c r="R259" t="str">
        <f t="shared" si="23"/>
        <v/>
      </c>
    </row>
    <row r="260" spans="1:18">
      <c r="A260" t="str">
        <f t="shared" si="5"/>
        <v>Single Family</v>
      </c>
      <c r="C260" t="str">
        <f t="shared" si="16"/>
        <v>Tier1_indor2_efaf</v>
      </c>
      <c r="D260" t="str">
        <f t="shared" si="17"/>
        <v>Heatkwh</v>
      </c>
      <c r="E260" s="43">
        <f>SUM(E31*weighting!$D$6,Segmented!E46*weighting!$D$7,Segmented!E61*weighting!$D$8)</f>
        <v>-343.38499278934376</v>
      </c>
      <c r="F260">
        <f t="shared" si="18"/>
        <v>13</v>
      </c>
      <c r="G260" s="43">
        <f>SUM(G31*weighting!$D$6,Segmented!G46*weighting!$D$7,Segmented!G61*weighting!$D$8)</f>
        <v>0</v>
      </c>
      <c r="H260" s="43">
        <f>SUM(H31*weighting!$D$6,Segmented!H46*weighting!$D$7,Segmented!H61*weighting!$D$8)</f>
        <v>0</v>
      </c>
      <c r="I260" t="str">
        <f t="shared" si="19"/>
        <v>ResSpHtFAFZ1</v>
      </c>
      <c r="J260" s="43">
        <f>SUM(J31*weighting!$D$6,Segmented!J46*weighting!$D$7,Segmented!J61*weighting!$D$8)</f>
        <v>-3.4721159669139707</v>
      </c>
      <c r="K260" s="43">
        <f>SUM(K31*weighting!$D$6,Segmented!K46*weighting!$D$7,Segmented!K61*weighting!$D$8)</f>
        <v>0</v>
      </c>
      <c r="L260">
        <f t="shared" si="20"/>
        <v>0</v>
      </c>
      <c r="M260" s="43">
        <f>SUM(M31*weighting!$D$6,Segmented!M46*weighting!$D$7,Segmented!M61*weighting!$D$8)</f>
        <v>0</v>
      </c>
      <c r="N260">
        <f t="shared" si="21"/>
        <v>0</v>
      </c>
      <c r="O260" s="43">
        <f>SUM(O31*weighting!$D$6,Segmented!O46*weighting!$D$7,Segmented!O61*weighting!$D$8)</f>
        <v>0</v>
      </c>
      <c r="P260">
        <f t="shared" si="22"/>
        <v>0</v>
      </c>
      <c r="Q260" s="43">
        <f>SUM(Q31*weighting!$D$6,Segmented!Q46*weighting!$D$7,Segmented!Q61*weighting!$D$8)</f>
        <v>-0.68804709837682176</v>
      </c>
      <c r="R260" t="str">
        <f t="shared" si="23"/>
        <v>ResSpHtFAFZ1</v>
      </c>
    </row>
    <row r="261" spans="1:18">
      <c r="A261" t="str">
        <f t="shared" si="5"/>
        <v>Single Family</v>
      </c>
      <c r="C261" t="str">
        <f t="shared" si="16"/>
        <v>Tier1_indor2_efaf</v>
      </c>
      <c r="D261" t="str">
        <f t="shared" si="17"/>
        <v>Coolkwh</v>
      </c>
      <c r="E261" s="43">
        <f>SUM(E32*weighting!$D$6,Segmented!E47*weighting!$D$7,Segmented!E62*weighting!$D$8)</f>
        <v>0</v>
      </c>
      <c r="F261">
        <f t="shared" si="18"/>
        <v>13</v>
      </c>
      <c r="G261" s="43">
        <f>SUM(G32*weighting!$D$6,Segmented!G47*weighting!$D$7,Segmented!G62*weighting!$D$8)</f>
        <v>0</v>
      </c>
      <c r="H261" s="43">
        <f>SUM(H32*weighting!$D$6,Segmented!H47*weighting!$D$7,Segmented!H62*weighting!$D$8)</f>
        <v>0</v>
      </c>
      <c r="I261" t="str">
        <f t="shared" si="19"/>
        <v>ResCACPNW</v>
      </c>
      <c r="J261" s="43">
        <f>SUM(J32*weighting!$D$6,Segmented!J47*weighting!$D$7,Segmented!J62*weighting!$D$8)</f>
        <v>-3.4721159669139707</v>
      </c>
      <c r="K261" s="43">
        <f>SUM(K32*weighting!$D$6,Segmented!K47*weighting!$D$7,Segmented!K62*weighting!$D$8)</f>
        <v>0</v>
      </c>
      <c r="L261">
        <f t="shared" si="20"/>
        <v>0</v>
      </c>
      <c r="M261" s="43">
        <f>SUM(M32*weighting!$D$6,Segmented!M47*weighting!$D$7,Segmented!M62*weighting!$D$8)</f>
        <v>0</v>
      </c>
      <c r="N261">
        <f t="shared" si="21"/>
        <v>0</v>
      </c>
      <c r="O261" s="43">
        <f>SUM(O32*weighting!$D$6,Segmented!O47*weighting!$D$7,Segmented!O62*weighting!$D$8)</f>
        <v>0</v>
      </c>
      <c r="P261">
        <f t="shared" si="22"/>
        <v>0</v>
      </c>
      <c r="Q261" s="43">
        <f>SUM(Q32*weighting!$D$6,Segmented!Q47*weighting!$D$7,Segmented!Q62*weighting!$D$8)</f>
        <v>0</v>
      </c>
      <c r="R261" t="str">
        <f t="shared" si="23"/>
        <v/>
      </c>
    </row>
    <row r="262" spans="1:18">
      <c r="A262" t="str">
        <f t="shared" si="5"/>
        <v>Single Family</v>
      </c>
      <c r="C262" t="str">
        <f t="shared" si="16"/>
        <v>Tier1_indor2_hp85</v>
      </c>
      <c r="D262" t="str">
        <f t="shared" si="17"/>
        <v>DHWkwh</v>
      </c>
      <c r="E262" s="43">
        <f>SUM(E33*weighting!$D$6,Segmented!E48*weighting!$D$7,Segmented!E63*weighting!$D$8)</f>
        <v>1249.1975039460601</v>
      </c>
      <c r="F262">
        <f t="shared" si="18"/>
        <v>13</v>
      </c>
      <c r="G262" s="43">
        <f>SUM(G33*weighting!$D$6,Segmented!G48*weighting!$D$7,Segmented!G63*weighting!$D$8)</f>
        <v>724.58752370386082</v>
      </c>
      <c r="H262" s="43">
        <f>SUM(H33*weighting!$D$6,Segmented!H48*weighting!$D$7,Segmented!H63*weighting!$D$8)</f>
        <v>0</v>
      </c>
      <c r="I262" t="str">
        <f t="shared" si="19"/>
        <v>ResDHW</v>
      </c>
      <c r="J262" s="43">
        <f>SUM(J33*weighting!$D$6,Segmented!J48*weighting!$D$7,Segmented!J63*weighting!$D$8)</f>
        <v>-1.8436624948097922</v>
      </c>
      <c r="K262" s="43">
        <f>SUM(K33*weighting!$D$6,Segmented!K48*weighting!$D$7,Segmented!K63*weighting!$D$8)</f>
        <v>0</v>
      </c>
      <c r="L262">
        <f t="shared" si="20"/>
        <v>0</v>
      </c>
      <c r="M262" s="43">
        <f>SUM(M33*weighting!$D$6,Segmented!M48*weighting!$D$7,Segmented!M63*weighting!$D$8)</f>
        <v>0</v>
      </c>
      <c r="N262">
        <f t="shared" si="21"/>
        <v>0</v>
      </c>
      <c r="O262" s="43">
        <f>SUM(O33*weighting!$D$6,Segmented!O48*weighting!$D$7,Segmented!O63*weighting!$D$8)</f>
        <v>0</v>
      </c>
      <c r="P262">
        <f t="shared" si="22"/>
        <v>0</v>
      </c>
      <c r="Q262" s="43">
        <f>SUM(Q33*weighting!$D$6,Segmented!Q48*weighting!$D$7,Segmented!Q63*weighting!$D$8)</f>
        <v>0</v>
      </c>
      <c r="R262" t="str">
        <f t="shared" si="23"/>
        <v/>
      </c>
    </row>
    <row r="263" spans="1:18">
      <c r="A263" t="str">
        <f t="shared" si="5"/>
        <v>Single Family</v>
      </c>
      <c r="C263" t="str">
        <f t="shared" si="16"/>
        <v>Tier1_indor2_hp85</v>
      </c>
      <c r="D263" t="str">
        <f t="shared" si="17"/>
        <v>Heatkwh</v>
      </c>
      <c r="E263" s="43">
        <f>SUM(E34*weighting!$D$6,Segmented!E49*weighting!$D$7,Segmented!E64*weighting!$D$8)</f>
        <v>-182.52849826785342</v>
      </c>
      <c r="F263">
        <f t="shared" si="18"/>
        <v>13</v>
      </c>
      <c r="G263" s="43">
        <f>SUM(G34*weighting!$D$6,Segmented!G49*weighting!$D$7,Segmented!G64*weighting!$D$8)</f>
        <v>0</v>
      </c>
      <c r="H263" s="43">
        <f>SUM(H34*weighting!$D$6,Segmented!H49*weighting!$D$7,Segmented!H64*weighting!$D$8)</f>
        <v>0</v>
      </c>
      <c r="I263" t="str">
        <f t="shared" si="19"/>
        <v>ResSpHtHPZ1</v>
      </c>
      <c r="J263" s="43">
        <f>SUM(J34*weighting!$D$6,Segmented!J49*weighting!$D$7,Segmented!J64*weighting!$D$8)</f>
        <v>-1.8436624948097922</v>
      </c>
      <c r="K263" s="43">
        <f>SUM(K34*weighting!$D$6,Segmented!K49*weighting!$D$7,Segmented!K64*weighting!$D$8)</f>
        <v>0</v>
      </c>
      <c r="L263">
        <f t="shared" si="20"/>
        <v>0</v>
      </c>
      <c r="M263" s="43">
        <f>SUM(M34*weighting!$D$6,Segmented!M49*weighting!$D$7,Segmented!M64*weighting!$D$8)</f>
        <v>0</v>
      </c>
      <c r="N263">
        <f t="shared" si="21"/>
        <v>0</v>
      </c>
      <c r="O263" s="43">
        <f>SUM(O34*weighting!$D$6,Segmented!O49*weighting!$D$7,Segmented!O64*weighting!$D$8)</f>
        <v>0</v>
      </c>
      <c r="P263">
        <f t="shared" si="22"/>
        <v>0</v>
      </c>
      <c r="Q263" s="43">
        <f>SUM(Q34*weighting!$D$6,Segmented!Q49*weighting!$D$7,Segmented!Q64*weighting!$D$8)</f>
        <v>-0.34795232134875137</v>
      </c>
      <c r="R263" t="str">
        <f t="shared" si="23"/>
        <v>ResSpHtHPZ1</v>
      </c>
    </row>
    <row r="264" spans="1:18">
      <c r="A264" t="str">
        <f t="shared" si="5"/>
        <v>Single Family</v>
      </c>
      <c r="C264" t="str">
        <f t="shared" si="16"/>
        <v>Tier1_indor2_hp85</v>
      </c>
      <c r="D264" t="str">
        <f t="shared" si="17"/>
        <v>Coolkwh</v>
      </c>
      <c r="E264" s="43">
        <f>SUM(E35*weighting!$D$6,Segmented!E50*weighting!$D$7,Segmented!E65*weighting!$D$8)</f>
        <v>30.673640966300958</v>
      </c>
      <c r="F264">
        <f t="shared" si="18"/>
        <v>13</v>
      </c>
      <c r="G264" s="43">
        <f>SUM(G35*weighting!$D$6,Segmented!G50*weighting!$D$7,Segmented!G65*weighting!$D$8)</f>
        <v>0</v>
      </c>
      <c r="H264" s="43">
        <f>SUM(H35*weighting!$D$6,Segmented!H50*weighting!$D$7,Segmented!H65*weighting!$D$8)</f>
        <v>0</v>
      </c>
      <c r="I264" t="str">
        <f t="shared" si="19"/>
        <v>ResCACPNW</v>
      </c>
      <c r="J264" s="43">
        <f>SUM(J35*weighting!$D$6,Segmented!J50*weighting!$D$7,Segmented!J65*weighting!$D$8)</f>
        <v>-1.8436624948097922</v>
      </c>
      <c r="K264" s="43">
        <f>SUM(K35*weighting!$D$6,Segmented!K50*weighting!$D$7,Segmented!K65*weighting!$D$8)</f>
        <v>0</v>
      </c>
      <c r="L264">
        <f t="shared" si="20"/>
        <v>0</v>
      </c>
      <c r="M264" s="43">
        <f>SUM(M35*weighting!$D$6,Segmented!M50*weighting!$D$7,Segmented!M65*weighting!$D$8)</f>
        <v>0</v>
      </c>
      <c r="N264">
        <f t="shared" si="21"/>
        <v>0</v>
      </c>
      <c r="O264" s="43">
        <f>SUM(O35*weighting!$D$6,Segmented!O50*weighting!$D$7,Segmented!O65*weighting!$D$8)</f>
        <v>0</v>
      </c>
      <c r="P264">
        <f t="shared" si="22"/>
        <v>0</v>
      </c>
      <c r="Q264" s="43">
        <f>SUM(Q35*weighting!$D$6,Segmented!Q50*weighting!$D$7,Segmented!Q65*weighting!$D$8)</f>
        <v>0</v>
      </c>
      <c r="R264" t="str">
        <f t="shared" si="23"/>
        <v/>
      </c>
    </row>
    <row r="265" spans="1:18">
      <c r="A265" t="str">
        <f t="shared" si="5"/>
        <v>Single Family</v>
      </c>
      <c r="C265" t="str">
        <f t="shared" si="16"/>
        <v>Tier1_indor2_zonl</v>
      </c>
      <c r="D265" t="str">
        <f t="shared" si="17"/>
        <v>DHWkwh</v>
      </c>
      <c r="E265" s="43">
        <f>SUM(E36*weighting!$D$6,Segmented!E51*weighting!$D$7,Segmented!E66*weighting!$D$8)</f>
        <v>1262.8980680876891</v>
      </c>
      <c r="F265">
        <f t="shared" si="18"/>
        <v>13</v>
      </c>
      <c r="G265" s="43">
        <f>SUM(G36*weighting!$D$6,Segmented!G51*weighting!$D$7,Segmented!G66*weighting!$D$8)</f>
        <v>724.58752370386082</v>
      </c>
      <c r="H265" s="43">
        <f>SUM(H36*weighting!$D$6,Segmented!H51*weighting!$D$7,Segmented!H66*weighting!$D$8)</f>
        <v>0</v>
      </c>
      <c r="I265" t="str">
        <f t="shared" si="19"/>
        <v>ResDHW</v>
      </c>
      <c r="J265" s="43">
        <f>SUM(J36*weighting!$D$6,Segmented!J51*weighting!$D$7,Segmented!J66*weighting!$D$8)</f>
        <v>-3.095878355959842</v>
      </c>
      <c r="K265" s="43">
        <f>SUM(K36*weighting!$D$6,Segmented!K51*weighting!$D$7,Segmented!K66*weighting!$D$8)</f>
        <v>0</v>
      </c>
      <c r="L265">
        <f t="shared" si="20"/>
        <v>0</v>
      </c>
      <c r="M265" s="43">
        <f>SUM(M36*weighting!$D$6,Segmented!M51*weighting!$D$7,Segmented!M66*weighting!$D$8)</f>
        <v>0</v>
      </c>
      <c r="N265">
        <f t="shared" si="21"/>
        <v>0</v>
      </c>
      <c r="O265" s="43">
        <f>SUM(O36*weighting!$D$6,Segmented!O51*weighting!$D$7,Segmented!O66*weighting!$D$8)</f>
        <v>0</v>
      </c>
      <c r="P265">
        <f t="shared" si="22"/>
        <v>0</v>
      </c>
      <c r="Q265" s="43">
        <f>SUM(Q36*weighting!$D$6,Segmented!Q51*weighting!$D$7,Segmented!Q66*weighting!$D$8)</f>
        <v>0</v>
      </c>
      <c r="R265" t="str">
        <f t="shared" si="23"/>
        <v/>
      </c>
    </row>
    <row r="266" spans="1:18">
      <c r="A266" t="str">
        <f t="shared" si="5"/>
        <v>Single Family</v>
      </c>
      <c r="C266" t="str">
        <f t="shared" si="16"/>
        <v>Tier1_indor2_zonl</v>
      </c>
      <c r="D266" t="str">
        <f t="shared" si="17"/>
        <v>Heatkwh</v>
      </c>
      <c r="E266" s="43">
        <f>SUM(E37*weighting!$D$6,Segmented!E52*weighting!$D$7,Segmented!E67*weighting!$D$8)</f>
        <v>-306.17072788868097</v>
      </c>
      <c r="F266">
        <f t="shared" si="18"/>
        <v>13</v>
      </c>
      <c r="G266" s="43">
        <f>SUM(G37*weighting!$D$6,Segmented!G52*weighting!$D$7,Segmented!G67*weighting!$D$8)</f>
        <v>0</v>
      </c>
      <c r="H266" s="43">
        <f>SUM(H37*weighting!$D$6,Segmented!H52*weighting!$D$7,Segmented!H67*weighting!$D$8)</f>
        <v>0</v>
      </c>
      <c r="I266" t="str">
        <f t="shared" si="19"/>
        <v>ResSpHtBBZ1</v>
      </c>
      <c r="J266" s="43">
        <f>SUM(J37*weighting!$D$6,Segmented!J52*weighting!$D$7,Segmented!J67*weighting!$D$8)</f>
        <v>-3.095878355959842</v>
      </c>
      <c r="K266" s="43">
        <f>SUM(K37*weighting!$D$6,Segmented!K52*weighting!$D$7,Segmented!K67*weighting!$D$8)</f>
        <v>0</v>
      </c>
      <c r="L266">
        <f t="shared" si="20"/>
        <v>0</v>
      </c>
      <c r="M266" s="43">
        <f>SUM(M37*weighting!$D$6,Segmented!M52*weighting!$D$7,Segmented!M67*weighting!$D$8)</f>
        <v>0</v>
      </c>
      <c r="N266">
        <f t="shared" si="21"/>
        <v>0</v>
      </c>
      <c r="O266" s="43">
        <f>SUM(O37*weighting!$D$6,Segmented!O52*weighting!$D$7,Segmented!O67*weighting!$D$8)</f>
        <v>0</v>
      </c>
      <c r="P266">
        <f t="shared" si="22"/>
        <v>0</v>
      </c>
      <c r="Q266" s="43">
        <f>SUM(Q37*weighting!$D$6,Segmented!Q52*weighting!$D$7,Segmented!Q67*weighting!$D$8)</f>
        <v>-0.61395224043789309</v>
      </c>
      <c r="R266" t="str">
        <f t="shared" si="23"/>
        <v>ResSpHtBBZ1</v>
      </c>
    </row>
    <row r="267" spans="1:18">
      <c r="A267" t="str">
        <f t="shared" si="5"/>
        <v>Single Family</v>
      </c>
      <c r="C267" t="str">
        <f t="shared" si="16"/>
        <v>Tier1_indor2_zonl</v>
      </c>
      <c r="D267" t="str">
        <f t="shared" si="17"/>
        <v>Coolkwh</v>
      </c>
      <c r="E267" s="43">
        <f>SUM(E38*weighting!$D$6,Segmented!E53*weighting!$D$7,Segmented!E68*weighting!$D$8)</f>
        <v>0</v>
      </c>
      <c r="F267">
        <f t="shared" si="18"/>
        <v>13</v>
      </c>
      <c r="G267" s="43">
        <f>SUM(G38*weighting!$D$6,Segmented!G53*weighting!$D$7,Segmented!G68*weighting!$D$8)</f>
        <v>0</v>
      </c>
      <c r="H267" s="43">
        <f>SUM(H38*weighting!$D$6,Segmented!H53*weighting!$D$7,Segmented!H68*weighting!$D$8)</f>
        <v>0</v>
      </c>
      <c r="I267" t="str">
        <f t="shared" si="19"/>
        <v>ResCACPNW</v>
      </c>
      <c r="J267" s="43">
        <f>SUM(J38*weighting!$D$6,Segmented!J53*weighting!$D$7,Segmented!J68*weighting!$D$8)</f>
        <v>-3.095878355959842</v>
      </c>
      <c r="K267" s="43">
        <f>SUM(K38*weighting!$D$6,Segmented!K53*weighting!$D$7,Segmented!K68*weighting!$D$8)</f>
        <v>0</v>
      </c>
      <c r="L267">
        <f t="shared" si="20"/>
        <v>0</v>
      </c>
      <c r="M267" s="43">
        <f>SUM(M38*weighting!$D$6,Segmented!M53*weighting!$D$7,Segmented!M68*weighting!$D$8)</f>
        <v>0</v>
      </c>
      <c r="N267">
        <f t="shared" si="21"/>
        <v>0</v>
      </c>
      <c r="O267" s="43">
        <f>SUM(O38*weighting!$D$6,Segmented!O53*weighting!$D$7,Segmented!O68*weighting!$D$8)</f>
        <v>0</v>
      </c>
      <c r="P267">
        <f t="shared" si="22"/>
        <v>0</v>
      </c>
      <c r="Q267" s="43">
        <f>SUM(Q38*weighting!$D$6,Segmented!Q53*weighting!$D$7,Segmented!Q68*weighting!$D$8)</f>
        <v>0</v>
      </c>
      <c r="R267" t="str">
        <f t="shared" si="23"/>
        <v/>
      </c>
    </row>
    <row r="268" spans="1:18">
      <c r="A268" t="str">
        <f>A69</f>
        <v>Single Family</v>
      </c>
      <c r="C268" t="str">
        <f>LEFT(C69,FIND("_HZ",C69)-1)</f>
        <v>Tier2_garage</v>
      </c>
      <c r="D268" t="str">
        <f>D69</f>
        <v>DHWkwh</v>
      </c>
      <c r="E268" s="43">
        <f>SUM(E69*weighting!$D$6,Segmented!E72*weighting!$D$7,Segmented!E75*weighting!$D$8)</f>
        <v>268.24215685700551</v>
      </c>
      <c r="F268">
        <f>F69</f>
        <v>13</v>
      </c>
      <c r="G268" s="43">
        <f>SUM(G69*weighting!$D$6,Segmented!G72*weighting!$D$7,Segmented!G75*weighting!$D$8)</f>
        <v>1183.5005381933324</v>
      </c>
      <c r="H268">
        <f>H69</f>
        <v>0</v>
      </c>
      <c r="I268" t="str">
        <f>I69</f>
        <v>ResDHW</v>
      </c>
      <c r="J268" s="43">
        <f>SUM(J69*weighting!$D$6,Segmented!J72*weighting!$D$7,Segmented!J75*weighting!$D$8)</f>
        <v>0</v>
      </c>
      <c r="K268" s="43">
        <f>SUM(K69*weighting!$D$6,Segmented!K72*weighting!$D$7,Segmented!K75*weighting!$D$8)</f>
        <v>0</v>
      </c>
      <c r="L268">
        <f>L69</f>
        <v>0</v>
      </c>
      <c r="M268" s="43">
        <f>SUM(M69*weighting!$D$6,Segmented!M72*weighting!$D$7,Segmented!M75*weighting!$D$8)</f>
        <v>0</v>
      </c>
      <c r="N268">
        <f>N69</f>
        <v>0</v>
      </c>
      <c r="O268" s="43">
        <f>SUM(O69*weighting!$D$6,Segmented!O72*weighting!$D$7,Segmented!O75*weighting!$D$8)</f>
        <v>0</v>
      </c>
      <c r="P268">
        <f>P69</f>
        <v>0</v>
      </c>
      <c r="Q268" s="43">
        <f>SUM(Q69*weighting!$D$6,Segmented!Q72*weighting!$D$7,Segmented!Q75*weighting!$D$8)</f>
        <v>0</v>
      </c>
      <c r="R268" t="str">
        <f>R69</f>
        <v/>
      </c>
    </row>
    <row r="269" spans="1:18">
      <c r="A269" t="str">
        <f t="shared" ref="A269:A270" si="24">A70</f>
        <v>Single Family</v>
      </c>
      <c r="C269" t="str">
        <f t="shared" ref="C269:C270" si="25">LEFT(C70,FIND("_HZ",C70)-1)</f>
        <v>Tier2_garage</v>
      </c>
      <c r="D269" t="str">
        <f t="shared" ref="D269:D270" si="26">D70</f>
        <v>Heatkwh</v>
      </c>
      <c r="E269" s="43">
        <f>SUM(E70*weighting!$D$6,Segmented!E73*weighting!$D$7,Segmented!E76*weighting!$D$8)</f>
        <v>0</v>
      </c>
      <c r="F269">
        <f t="shared" ref="F269:F270" si="27">F70</f>
        <v>13</v>
      </c>
      <c r="G269" s="43">
        <f>SUM(G70*weighting!$D$6,Segmented!G73*weighting!$D$7,Segmented!G76*weighting!$D$8)</f>
        <v>0</v>
      </c>
      <c r="H269">
        <f t="shared" ref="H269:I269" si="28">H70</f>
        <v>0</v>
      </c>
      <c r="I269" t="str">
        <f t="shared" si="28"/>
        <v>ResSpHtFAFZ1</v>
      </c>
      <c r="J269" s="43">
        <f>SUM(J70*weighting!$D$6,Segmented!J73*weighting!$D$7,Segmented!J76*weighting!$D$8)</f>
        <v>0</v>
      </c>
      <c r="K269" s="43">
        <f>SUM(K70*weighting!$D$6,Segmented!K73*weighting!$D$7,Segmented!K76*weighting!$D$8)</f>
        <v>0</v>
      </c>
      <c r="L269">
        <f t="shared" ref="L269:L270" si="29">L70</f>
        <v>0</v>
      </c>
      <c r="M269" s="43">
        <f>SUM(M70*weighting!$D$6,Segmented!M73*weighting!$D$7,Segmented!M76*weighting!$D$8)</f>
        <v>0</v>
      </c>
      <c r="N269">
        <f t="shared" ref="N269:N270" si="30">N70</f>
        <v>0</v>
      </c>
      <c r="O269" s="43">
        <f>SUM(O70*weighting!$D$6,Segmented!O73*weighting!$D$7,Segmented!O76*weighting!$D$8)</f>
        <v>0</v>
      </c>
      <c r="P269">
        <f t="shared" ref="P269:P270" si="31">P70</f>
        <v>0</v>
      </c>
      <c r="Q269" s="43">
        <f>SUM(Q70*weighting!$D$6,Segmented!Q73*weighting!$D$7,Segmented!Q76*weighting!$D$8)</f>
        <v>0</v>
      </c>
      <c r="R269" t="str">
        <f t="shared" ref="R269" si="32">R28</f>
        <v>ResSpHtFAFZ1</v>
      </c>
    </row>
    <row r="270" spans="1:18">
      <c r="A270" t="str">
        <f t="shared" si="24"/>
        <v>Single Family</v>
      </c>
      <c r="C270" t="str">
        <f t="shared" si="25"/>
        <v>Tier2_garage</v>
      </c>
      <c r="D270" t="str">
        <f t="shared" si="26"/>
        <v>Coolkwh</v>
      </c>
      <c r="E270" s="43">
        <f>SUM(E71*weighting!$D$6,Segmented!E74*weighting!$D$7,Segmented!E77*weighting!$D$8)</f>
        <v>0</v>
      </c>
      <c r="F270">
        <f t="shared" si="27"/>
        <v>13</v>
      </c>
      <c r="G270" s="43">
        <f>SUM(G71*weighting!$D$6,Segmented!G74*weighting!$D$7,Segmented!G77*weighting!$D$8)</f>
        <v>0</v>
      </c>
      <c r="H270">
        <f t="shared" ref="H270:I270" si="33">H71</f>
        <v>0</v>
      </c>
      <c r="I270" t="str">
        <f t="shared" si="33"/>
        <v>ResCACPNW</v>
      </c>
      <c r="J270" s="43">
        <f>SUM(J71*weighting!$D$6,Segmented!J74*weighting!$D$7,Segmented!J77*weighting!$D$8)</f>
        <v>0</v>
      </c>
      <c r="K270" s="43">
        <f>SUM(K71*weighting!$D$6,Segmented!K74*weighting!$D$7,Segmented!K77*weighting!$D$8)</f>
        <v>0</v>
      </c>
      <c r="L270">
        <f t="shared" si="29"/>
        <v>0</v>
      </c>
      <c r="M270" s="43">
        <f>SUM(M71*weighting!$D$6,Segmented!M74*weighting!$D$7,Segmented!M77*weighting!$D$8)</f>
        <v>0</v>
      </c>
      <c r="N270">
        <f t="shared" si="30"/>
        <v>0</v>
      </c>
      <c r="O270" s="43">
        <f>SUM(O71*weighting!$D$6,Segmented!O74*weighting!$D$7,Segmented!O77*weighting!$D$8)</f>
        <v>0</v>
      </c>
      <c r="P270">
        <f t="shared" si="31"/>
        <v>0</v>
      </c>
      <c r="Q270" s="43">
        <f>SUM(Q71*weighting!$D$6,Segmented!Q74*weighting!$D$7,Segmented!Q77*weighting!$D$8)</f>
        <v>0</v>
      </c>
      <c r="R270" t="str">
        <f t="shared" ref="R270" si="34">R29</f>
        <v/>
      </c>
    </row>
    <row r="271" spans="1:18">
      <c r="A271" t="str">
        <f>A78</f>
        <v>Single Family</v>
      </c>
      <c r="C271" t="str">
        <f>LEFT(C78,FIND("_HZ",C78)-1)</f>
        <v>Tier2_basmnt</v>
      </c>
      <c r="D271" t="str">
        <f>D78</f>
        <v>DHWkwh</v>
      </c>
      <c r="E271" s="43">
        <f>SUM(E78*weighting!$D$6,Segmented!E81*weighting!$D$7,Segmented!E84*weighting!$D$8)</f>
        <v>111.57972652854411</v>
      </c>
      <c r="F271">
        <f>F78</f>
        <v>13</v>
      </c>
      <c r="G271" s="43">
        <f>SUM(G78*weighting!$D$6,Segmented!G81*weighting!$D$7,Segmented!G84*weighting!$D$8)</f>
        <v>1183.5005381933324</v>
      </c>
      <c r="H271">
        <f>H78</f>
        <v>0</v>
      </c>
      <c r="I271" t="str">
        <f>I78</f>
        <v>ResDHW</v>
      </c>
      <c r="J271" s="43">
        <f>SUM(J78*weighting!$D$6,Segmented!J81*weighting!$D$7,Segmented!J84*weighting!$D$8)</f>
        <v>0</v>
      </c>
      <c r="K271" s="43">
        <f>SUM(K78*weighting!$D$6,Segmented!K81*weighting!$D$7,Segmented!K84*weighting!$D$8)</f>
        <v>0</v>
      </c>
      <c r="L271">
        <f>L78</f>
        <v>0</v>
      </c>
      <c r="M271" s="43">
        <f>SUM(M78*weighting!$D$6,Segmented!M81*weighting!$D$7,Segmented!M84*weighting!$D$8)</f>
        <v>0</v>
      </c>
      <c r="N271">
        <f>N78</f>
        <v>0</v>
      </c>
      <c r="O271" s="43">
        <f>SUM(O78*weighting!$D$6,Segmented!O81*weighting!$D$7,Segmented!O84*weighting!$D$8)</f>
        <v>0</v>
      </c>
      <c r="P271">
        <f>P78</f>
        <v>0</v>
      </c>
      <c r="Q271" s="43">
        <f>SUM(Q78*weighting!$D$6,Segmented!Q81*weighting!$D$7,Segmented!Q84*weighting!$D$8)</f>
        <v>0</v>
      </c>
      <c r="R271" t="str">
        <f>R78</f>
        <v/>
      </c>
    </row>
    <row r="272" spans="1:18">
      <c r="A272" t="str">
        <f t="shared" ref="A272:A273" si="35">A79</f>
        <v>Single Family</v>
      </c>
      <c r="C272" t="str">
        <f t="shared" ref="C272:C273" si="36">LEFT(C79,FIND("_HZ",C79)-1)</f>
        <v>Tier2_basmnt</v>
      </c>
      <c r="D272" t="str">
        <f t="shared" ref="D272:D273" si="37">D79</f>
        <v>Heatkwh</v>
      </c>
      <c r="E272" s="43">
        <f>SUM(E79*weighting!$D$6,Segmented!E82*weighting!$D$7,Segmented!E85*weighting!$D$8)</f>
        <v>0</v>
      </c>
      <c r="F272">
        <f t="shared" ref="F272:F273" si="38">F79</f>
        <v>13</v>
      </c>
      <c r="G272" s="43">
        <f>SUM(G79*weighting!$D$6,Segmented!G82*weighting!$D$7,Segmented!G85*weighting!$D$8)</f>
        <v>0</v>
      </c>
      <c r="H272">
        <f t="shared" ref="H272:I272" si="39">H79</f>
        <v>0</v>
      </c>
      <c r="I272" t="str">
        <f t="shared" si="39"/>
        <v>ResSpHtFAFZ1</v>
      </c>
      <c r="J272" s="43">
        <f>SUM(J79*weighting!$D$6,Segmented!J82*weighting!$D$7,Segmented!J85*weighting!$D$8)</f>
        <v>0</v>
      </c>
      <c r="K272" s="43">
        <f>SUM(K79*weighting!$D$6,Segmented!K82*weighting!$D$7,Segmented!K85*weighting!$D$8)</f>
        <v>0</v>
      </c>
      <c r="L272">
        <f t="shared" ref="L272:L273" si="40">L79</f>
        <v>0</v>
      </c>
      <c r="M272" s="43">
        <f>SUM(M79*weighting!$D$6,Segmented!M82*weighting!$D$7,Segmented!M85*weighting!$D$8)</f>
        <v>0</v>
      </c>
      <c r="N272">
        <f t="shared" ref="N272:N273" si="41">N79</f>
        <v>0</v>
      </c>
      <c r="O272" s="43">
        <f>SUM(O79*weighting!$D$6,Segmented!O82*weighting!$D$7,Segmented!O85*weighting!$D$8)</f>
        <v>0</v>
      </c>
      <c r="P272">
        <f t="shared" ref="P272:P273" si="42">P79</f>
        <v>0</v>
      </c>
      <c r="Q272" s="43">
        <f>SUM(Q79*weighting!$D$6,Segmented!Q82*weighting!$D$7,Segmented!Q85*weighting!$D$8)</f>
        <v>0</v>
      </c>
      <c r="R272" t="str">
        <f t="shared" ref="R272:R273" si="43">R79</f>
        <v/>
      </c>
    </row>
    <row r="273" spans="1:18">
      <c r="A273" t="str">
        <f t="shared" si="35"/>
        <v>Single Family</v>
      </c>
      <c r="C273" t="str">
        <f t="shared" si="36"/>
        <v>Tier2_basmnt</v>
      </c>
      <c r="D273" t="str">
        <f t="shared" si="37"/>
        <v>Coolkwh</v>
      </c>
      <c r="E273" s="43">
        <f>SUM(E80*weighting!$D$6,Segmented!E83*weighting!$D$7,Segmented!E86*weighting!$D$8)</f>
        <v>0</v>
      </c>
      <c r="F273">
        <f t="shared" si="38"/>
        <v>13</v>
      </c>
      <c r="G273" s="43">
        <f>SUM(G80*weighting!$D$6,Segmented!G83*weighting!$D$7,Segmented!G86*weighting!$D$8)</f>
        <v>0</v>
      </c>
      <c r="H273">
        <f t="shared" ref="H273:I273" si="44">H80</f>
        <v>0</v>
      </c>
      <c r="I273" t="str">
        <f t="shared" si="44"/>
        <v>ResCACPNW</v>
      </c>
      <c r="J273" s="43">
        <f>SUM(J80*weighting!$D$6,Segmented!J83*weighting!$D$7,Segmented!J86*weighting!$D$8)</f>
        <v>0</v>
      </c>
      <c r="K273" s="43">
        <f>SUM(K80*weighting!$D$6,Segmented!K83*weighting!$D$7,Segmented!K86*weighting!$D$8)</f>
        <v>0</v>
      </c>
      <c r="L273">
        <f t="shared" si="40"/>
        <v>0</v>
      </c>
      <c r="M273" s="43">
        <f>SUM(M80*weighting!$D$6,Segmented!M83*weighting!$D$7,Segmented!M86*weighting!$D$8)</f>
        <v>0</v>
      </c>
      <c r="N273">
        <f t="shared" si="41"/>
        <v>0</v>
      </c>
      <c r="O273" s="43">
        <f>SUM(O80*weighting!$D$6,Segmented!O83*weighting!$D$7,Segmented!O86*weighting!$D$8)</f>
        <v>0</v>
      </c>
      <c r="P273">
        <f t="shared" si="42"/>
        <v>0</v>
      </c>
      <c r="Q273" s="43">
        <f>SUM(Q80*weighting!$D$6,Segmented!Q83*weighting!$D$7,Segmented!Q86*weighting!$D$8)</f>
        <v>0</v>
      </c>
      <c r="R273" t="str">
        <f t="shared" si="43"/>
        <v/>
      </c>
    </row>
    <row r="274" spans="1:18">
      <c r="A274" t="str">
        <f>A27</f>
        <v>Single Family</v>
      </c>
      <c r="C274" t="str">
        <f>CONCATENATE(LEFT(C87,FIND("_HZ",C87)-1),"_",RIGHT(C87,4))</f>
        <v>Tier2_indor2_gfnc</v>
      </c>
      <c r="D274" t="str">
        <f>D87</f>
        <v>DHWkwh</v>
      </c>
      <c r="E274" s="43">
        <f>SUM(E87*weighting!$D$6,Segmented!E102*weighting!$D$7,Segmented!E117*weighting!$D$8)</f>
        <v>82.787030726763376</v>
      </c>
      <c r="F274">
        <f>F87</f>
        <v>13</v>
      </c>
      <c r="G274" s="43">
        <f>SUM(G87*weighting!$D$6,Segmented!G102*weighting!$D$7,Segmented!G117*weighting!$D$8)</f>
        <v>1183.5005381933324</v>
      </c>
      <c r="H274" s="43">
        <f>SUM(H87*weighting!$D$6,Segmented!H102*weighting!$D$7,Segmented!H117*weighting!$D$8)</f>
        <v>0</v>
      </c>
      <c r="I274" t="str">
        <f>I87</f>
        <v>ResDHW</v>
      </c>
      <c r="J274" s="43">
        <f>SUM(J87*weighting!$D$6,Segmented!J102*weighting!$D$7,Segmented!J117*weighting!$D$8)</f>
        <v>-0.85834873320788085</v>
      </c>
      <c r="K274" s="43">
        <f>SUM(K87*weighting!$D$6,Segmented!K102*weighting!$D$7,Segmented!K117*weighting!$D$8)</f>
        <v>0</v>
      </c>
      <c r="L274">
        <f>L87</f>
        <v>0</v>
      </c>
      <c r="M274" s="43">
        <f>SUM(M87*weighting!$D$6,Segmented!M102*weighting!$D$7,Segmented!M117*weighting!$D$8)</f>
        <v>0</v>
      </c>
      <c r="N274">
        <f>N87</f>
        <v>0</v>
      </c>
      <c r="O274" s="43">
        <f>SUM(O87*weighting!$D$6,Segmented!O102*weighting!$D$7,Segmented!O117*weighting!$D$8)</f>
        <v>0</v>
      </c>
      <c r="P274">
        <f>P87</f>
        <v>0</v>
      </c>
      <c r="Q274" s="43">
        <f>SUM(Q87*weighting!$D$6,Segmented!Q102*weighting!$D$7,Segmented!Q117*weighting!$D$8)</f>
        <v>0</v>
      </c>
      <c r="R274" t="str">
        <f>R87</f>
        <v/>
      </c>
    </row>
    <row r="275" spans="1:18">
      <c r="A275" t="str">
        <f>A28</f>
        <v>Single Family</v>
      </c>
      <c r="C275" t="str">
        <f t="shared" ref="C275:C288" si="45">CONCATENATE(LEFT(C88,FIND("_HZ",C88)-1),"_",RIGHT(C88,4))</f>
        <v>Tier2_indor2_gfnc</v>
      </c>
      <c r="D275" t="str">
        <f t="shared" ref="D275:D288" si="46">D88</f>
        <v>Heatkwh</v>
      </c>
      <c r="E275" s="43">
        <f>SUM(E88*weighting!$D$6,Segmented!E103*weighting!$D$7,Segmented!E118*weighting!$D$8)</f>
        <v>-2.2721962950514598</v>
      </c>
      <c r="F275">
        <f t="shared" ref="F275:F288" si="47">F88</f>
        <v>13</v>
      </c>
      <c r="G275" s="43">
        <f>SUM(G88*weighting!$D$6,Segmented!G103*weighting!$D$7,Segmented!G118*weighting!$D$8)</f>
        <v>0</v>
      </c>
      <c r="H275" s="43">
        <f>SUM(H88*weighting!$D$6,Segmented!H103*weighting!$D$7,Segmented!H118*weighting!$D$8)</f>
        <v>0</v>
      </c>
      <c r="I275" t="str">
        <f t="shared" ref="I275:I288" si="48">I88</f>
        <v>ResSpHtFAFZ1</v>
      </c>
      <c r="J275" s="43">
        <f>SUM(J88*weighting!$D$6,Segmented!J103*weighting!$D$7,Segmented!J118*weighting!$D$8)</f>
        <v>-0.85834873320788085</v>
      </c>
      <c r="K275" s="43">
        <f>SUM(K88*weighting!$D$6,Segmented!K103*weighting!$D$7,Segmented!K118*weighting!$D$8)</f>
        <v>0</v>
      </c>
      <c r="L275">
        <f t="shared" ref="L275:L288" si="49">L88</f>
        <v>0</v>
      </c>
      <c r="M275" s="43">
        <f>SUM(M88*weighting!$D$6,Segmented!M103*weighting!$D$7,Segmented!M118*weighting!$D$8)</f>
        <v>0</v>
      </c>
      <c r="N275">
        <f t="shared" ref="N275:N288" si="50">N88</f>
        <v>0</v>
      </c>
      <c r="O275" s="43">
        <f>SUM(O88*weighting!$D$6,Segmented!O103*weighting!$D$7,Segmented!O118*weighting!$D$8)</f>
        <v>0</v>
      </c>
      <c r="P275">
        <f t="shared" ref="P275:P288" si="51">P88</f>
        <v>0</v>
      </c>
      <c r="Q275" s="43">
        <f>SUM(Q88*weighting!$D$6,Segmented!Q103*weighting!$D$7,Segmented!Q118*weighting!$D$8)</f>
        <v>-3.3258467421661342</v>
      </c>
      <c r="R275" t="str">
        <f t="shared" ref="R275:R288" si="52">R88</f>
        <v>ResSpHtFAFZ1</v>
      </c>
    </row>
    <row r="276" spans="1:18">
      <c r="A276" t="str">
        <f>A29</f>
        <v>Single Family</v>
      </c>
      <c r="C276" t="str">
        <f t="shared" si="45"/>
        <v>Tier2_indor2_gfnc</v>
      </c>
      <c r="D276" t="str">
        <f t="shared" si="46"/>
        <v>Coolkwh</v>
      </c>
      <c r="E276" s="43">
        <f>SUM(E89*weighting!$D$6,Segmented!E104*weighting!$D$7,Segmented!E119*weighting!$D$8)</f>
        <v>0</v>
      </c>
      <c r="F276">
        <f t="shared" si="47"/>
        <v>13</v>
      </c>
      <c r="G276" s="43">
        <f>SUM(G89*weighting!$D$6,Segmented!G104*weighting!$D$7,Segmented!G119*weighting!$D$8)</f>
        <v>0</v>
      </c>
      <c r="H276" s="43">
        <f>SUM(H89*weighting!$D$6,Segmented!H104*weighting!$D$7,Segmented!H119*weighting!$D$8)</f>
        <v>0</v>
      </c>
      <c r="I276" t="str">
        <f t="shared" si="48"/>
        <v>ResCACPNW</v>
      </c>
      <c r="J276" s="43">
        <f>SUM(J89*weighting!$D$6,Segmented!J104*weighting!$D$7,Segmented!J119*weighting!$D$8)</f>
        <v>-0.85834873320788085</v>
      </c>
      <c r="K276" s="43">
        <f>SUM(K89*weighting!$D$6,Segmented!K104*weighting!$D$7,Segmented!K119*weighting!$D$8)</f>
        <v>0</v>
      </c>
      <c r="L276">
        <f t="shared" si="49"/>
        <v>0</v>
      </c>
      <c r="M276" s="43">
        <f>SUM(M89*weighting!$D$6,Segmented!M104*weighting!$D$7,Segmented!M119*weighting!$D$8)</f>
        <v>0</v>
      </c>
      <c r="N276">
        <f t="shared" si="50"/>
        <v>0</v>
      </c>
      <c r="O276" s="43">
        <f>SUM(O89*weighting!$D$6,Segmented!O104*weighting!$D$7,Segmented!O119*weighting!$D$8)</f>
        <v>0</v>
      </c>
      <c r="P276">
        <f t="shared" si="51"/>
        <v>0</v>
      </c>
      <c r="Q276" s="43">
        <f>SUM(Q89*weighting!$D$6,Segmented!Q104*weighting!$D$7,Segmented!Q119*weighting!$D$8)</f>
        <v>0</v>
      </c>
      <c r="R276" t="str">
        <f t="shared" si="52"/>
        <v/>
      </c>
    </row>
    <row r="277" spans="1:18">
      <c r="A277" t="str">
        <f>A30</f>
        <v>Single Family</v>
      </c>
      <c r="C277" t="str">
        <f t="shared" si="45"/>
        <v>Tier2_indor2_gfac</v>
      </c>
      <c r="D277" t="str">
        <f t="shared" si="46"/>
        <v>DHWkwh</v>
      </c>
      <c r="E277" s="43">
        <f>SUM(E90*weighting!$D$6,Segmented!E105*weighting!$D$7,Segmented!E120*weighting!$D$8)</f>
        <v>88.055013154781591</v>
      </c>
      <c r="F277">
        <f t="shared" si="47"/>
        <v>13</v>
      </c>
      <c r="G277" s="43">
        <f>SUM(G90*weighting!$D$6,Segmented!G105*weighting!$D$7,Segmented!G120*weighting!$D$8)</f>
        <v>1183.5005381933324</v>
      </c>
      <c r="H277" s="43">
        <f>SUM(H90*weighting!$D$6,Segmented!H105*weighting!$D$7,Segmented!H120*weighting!$D$8)</f>
        <v>0</v>
      </c>
      <c r="I277" t="str">
        <f t="shared" si="48"/>
        <v>ResDHW</v>
      </c>
      <c r="J277" s="43">
        <f>SUM(J90*weighting!$D$6,Segmented!J105*weighting!$D$7,Segmented!J120*weighting!$D$8)</f>
        <v>-0.87290339744287193</v>
      </c>
      <c r="K277" s="43">
        <f>SUM(K90*weighting!$D$6,Segmented!K105*weighting!$D$7,Segmented!K120*weighting!$D$8)</f>
        <v>0</v>
      </c>
      <c r="L277">
        <f t="shared" si="49"/>
        <v>0</v>
      </c>
      <c r="M277" s="43">
        <f>SUM(M90*weighting!$D$6,Segmented!M105*weighting!$D$7,Segmented!M120*weighting!$D$8)</f>
        <v>0</v>
      </c>
      <c r="N277">
        <f t="shared" si="50"/>
        <v>0</v>
      </c>
      <c r="O277" s="43">
        <f>SUM(O90*weighting!$D$6,Segmented!O105*weighting!$D$7,Segmented!O120*weighting!$D$8)</f>
        <v>0</v>
      </c>
      <c r="P277">
        <f t="shared" si="51"/>
        <v>0</v>
      </c>
      <c r="Q277" s="43">
        <f>SUM(Q90*weighting!$D$6,Segmented!Q105*weighting!$D$7,Segmented!Q120*weighting!$D$8)</f>
        <v>0</v>
      </c>
      <c r="R277" t="str">
        <f t="shared" si="52"/>
        <v/>
      </c>
    </row>
    <row r="278" spans="1:18">
      <c r="A278" t="str">
        <f t="shared" ref="A278:A288" si="53">A16</f>
        <v>Single Family</v>
      </c>
      <c r="C278" t="str">
        <f t="shared" si="45"/>
        <v>Tier2_indor2_gfac</v>
      </c>
      <c r="D278" t="str">
        <f t="shared" si="46"/>
        <v>Heatkwh</v>
      </c>
      <c r="E278" s="43">
        <f>SUM(E91*weighting!$D$6,Segmented!E106*weighting!$D$7,Segmented!E121*weighting!$D$8)</f>
        <v>-2.494122084514057</v>
      </c>
      <c r="F278">
        <f t="shared" si="47"/>
        <v>13</v>
      </c>
      <c r="G278" s="43">
        <f>SUM(G91*weighting!$D$6,Segmented!G106*weighting!$D$7,Segmented!G121*weighting!$D$8)</f>
        <v>0</v>
      </c>
      <c r="H278" s="43">
        <f>SUM(H91*weighting!$D$6,Segmented!H106*weighting!$D$7,Segmented!H121*weighting!$D$8)</f>
        <v>0</v>
      </c>
      <c r="I278" t="str">
        <f t="shared" si="48"/>
        <v>ResSpHtFAFZ1</v>
      </c>
      <c r="J278" s="43">
        <f>SUM(J91*weighting!$D$6,Segmented!J106*weighting!$D$7,Segmented!J121*weighting!$D$8)</f>
        <v>-0.87290339744287193</v>
      </c>
      <c r="K278" s="43">
        <f>SUM(K91*weighting!$D$6,Segmented!K106*weighting!$D$7,Segmented!K121*weighting!$D$8)</f>
        <v>0</v>
      </c>
      <c r="L278">
        <f t="shared" si="49"/>
        <v>0</v>
      </c>
      <c r="M278" s="43">
        <f>SUM(M91*weighting!$D$6,Segmented!M106*weighting!$D$7,Segmented!M121*weighting!$D$8)</f>
        <v>0</v>
      </c>
      <c r="N278">
        <f t="shared" si="50"/>
        <v>0</v>
      </c>
      <c r="O278" s="43">
        <f>SUM(O91*weighting!$D$6,Segmented!O106*weighting!$D$7,Segmented!O121*weighting!$D$8)</f>
        <v>0</v>
      </c>
      <c r="P278">
        <f t="shared" si="51"/>
        <v>0</v>
      </c>
      <c r="Q278" s="43">
        <f>SUM(Q91*weighting!$D$6,Segmented!Q106*weighting!$D$7,Segmented!Q121*weighting!$D$8)</f>
        <v>-3.3750130534524367</v>
      </c>
      <c r="R278" t="str">
        <f t="shared" si="52"/>
        <v>ResSpHtFAFZ1</v>
      </c>
    </row>
    <row r="279" spans="1:18">
      <c r="A279" t="str">
        <f t="shared" si="53"/>
        <v>Single Family</v>
      </c>
      <c r="C279" t="str">
        <f t="shared" si="45"/>
        <v>Tier2_indor2_gfac</v>
      </c>
      <c r="D279" t="str">
        <f t="shared" si="46"/>
        <v>Coolkwh</v>
      </c>
      <c r="E279" s="43">
        <f>SUM(E92*weighting!$D$6,Segmented!E107*weighting!$D$7,Segmented!E122*weighting!$D$8)</f>
        <v>-4.7969612522366845</v>
      </c>
      <c r="F279">
        <f t="shared" si="47"/>
        <v>13</v>
      </c>
      <c r="G279" s="43">
        <f>SUM(G92*weighting!$D$6,Segmented!G107*weighting!$D$7,Segmented!G122*weighting!$D$8)</f>
        <v>0</v>
      </c>
      <c r="H279" s="43">
        <f>SUM(H92*weighting!$D$6,Segmented!H107*weighting!$D$7,Segmented!H122*weighting!$D$8)</f>
        <v>0</v>
      </c>
      <c r="I279" t="str">
        <f t="shared" si="48"/>
        <v>ResCACPNW</v>
      </c>
      <c r="J279" s="43">
        <f>SUM(J92*weighting!$D$6,Segmented!J107*weighting!$D$7,Segmented!J122*weighting!$D$8)</f>
        <v>-0.87290339744287193</v>
      </c>
      <c r="K279" s="43">
        <f>SUM(K92*weighting!$D$6,Segmented!K107*weighting!$D$7,Segmented!K122*weighting!$D$8)</f>
        <v>0</v>
      </c>
      <c r="L279">
        <f t="shared" si="49"/>
        <v>0</v>
      </c>
      <c r="M279" s="43">
        <f>SUM(M92*weighting!$D$6,Segmented!M107*weighting!$D$7,Segmented!M122*weighting!$D$8)</f>
        <v>0</v>
      </c>
      <c r="N279">
        <f t="shared" si="50"/>
        <v>0</v>
      </c>
      <c r="O279" s="43">
        <f>SUM(O92*weighting!$D$6,Segmented!O107*weighting!$D$7,Segmented!O122*weighting!$D$8)</f>
        <v>0</v>
      </c>
      <c r="P279">
        <f t="shared" si="51"/>
        <v>0</v>
      </c>
      <c r="Q279" s="43">
        <f>SUM(Q92*weighting!$D$6,Segmented!Q107*weighting!$D$7,Segmented!Q122*weighting!$D$8)</f>
        <v>0</v>
      </c>
      <c r="R279" t="str">
        <f t="shared" si="52"/>
        <v/>
      </c>
    </row>
    <row r="280" spans="1:18">
      <c r="A280" t="str">
        <f t="shared" si="53"/>
        <v>Single Family</v>
      </c>
      <c r="C280" t="str">
        <f t="shared" si="45"/>
        <v>Tier2_indor2_efaf</v>
      </c>
      <c r="D280" t="str">
        <f t="shared" si="46"/>
        <v>DHWkwh</v>
      </c>
      <c r="E280" s="43">
        <f>SUM(E93*weighting!$D$6,Segmented!E108*weighting!$D$7,Segmented!E123*weighting!$D$8)</f>
        <v>82.787030726763376</v>
      </c>
      <c r="F280">
        <f t="shared" si="47"/>
        <v>13</v>
      </c>
      <c r="G280" s="43">
        <f>SUM(G93*weighting!$D$6,Segmented!G108*weighting!$D$7,Segmented!G123*weighting!$D$8)</f>
        <v>1183.5005381933324</v>
      </c>
      <c r="H280" s="43">
        <f>SUM(H93*weighting!$D$6,Segmented!H108*weighting!$D$7,Segmented!H123*weighting!$D$8)</f>
        <v>0</v>
      </c>
      <c r="I280" t="str">
        <f t="shared" si="48"/>
        <v>ResDHW</v>
      </c>
      <c r="J280" s="43">
        <f>SUM(J93*weighting!$D$6,Segmented!J108*weighting!$D$7,Segmented!J123*weighting!$D$8)</f>
        <v>-0.60507874701643671</v>
      </c>
      <c r="K280" s="43">
        <f>SUM(K93*weighting!$D$6,Segmented!K108*weighting!$D$7,Segmented!K123*weighting!$D$8)</f>
        <v>0</v>
      </c>
      <c r="L280">
        <f t="shared" si="49"/>
        <v>0</v>
      </c>
      <c r="M280" s="43">
        <f>SUM(M93*weighting!$D$6,Segmented!M108*weighting!$D$7,Segmented!M123*weighting!$D$8)</f>
        <v>0</v>
      </c>
      <c r="N280">
        <f t="shared" si="50"/>
        <v>0</v>
      </c>
      <c r="O280" s="43">
        <f>SUM(O93*weighting!$D$6,Segmented!O108*weighting!$D$7,Segmented!O123*weighting!$D$8)</f>
        <v>0</v>
      </c>
      <c r="P280">
        <f t="shared" si="51"/>
        <v>0</v>
      </c>
      <c r="Q280" s="43">
        <f>SUM(Q93*weighting!$D$6,Segmented!Q108*weighting!$D$7,Segmented!Q123*weighting!$D$8)</f>
        <v>0</v>
      </c>
      <c r="R280" t="str">
        <f t="shared" si="52"/>
        <v/>
      </c>
    </row>
    <row r="281" spans="1:18">
      <c r="A281" t="str">
        <f t="shared" si="53"/>
        <v>Single Family</v>
      </c>
      <c r="C281" t="str">
        <f t="shared" si="45"/>
        <v>Tier2_indor2_efaf</v>
      </c>
      <c r="D281" t="str">
        <f t="shared" si="46"/>
        <v>Heatkwh</v>
      </c>
      <c r="E281" s="43">
        <f>SUM(E94*weighting!$D$6,Segmented!E109*weighting!$D$7,Segmented!E124*weighting!$D$8)</f>
        <v>-59.842825091439764</v>
      </c>
      <c r="F281">
        <f t="shared" si="47"/>
        <v>13</v>
      </c>
      <c r="G281" s="43">
        <f>SUM(G94*weighting!$D$6,Segmented!G109*weighting!$D$7,Segmented!G124*weighting!$D$8)</f>
        <v>0</v>
      </c>
      <c r="H281" s="43">
        <f>SUM(H94*weighting!$D$6,Segmented!H109*weighting!$D$7,Segmented!H124*weighting!$D$8)</f>
        <v>0</v>
      </c>
      <c r="I281" t="str">
        <f t="shared" si="48"/>
        <v>ResSpHtFAFZ1</v>
      </c>
      <c r="J281" s="43">
        <f>SUM(J94*weighting!$D$6,Segmented!J109*weighting!$D$7,Segmented!J124*weighting!$D$8)</f>
        <v>-0.60507874701643671</v>
      </c>
      <c r="K281" s="43">
        <f>SUM(K94*weighting!$D$6,Segmented!K109*weighting!$D$7,Segmented!K124*weighting!$D$8)</f>
        <v>0</v>
      </c>
      <c r="L281">
        <f t="shared" si="49"/>
        <v>0</v>
      </c>
      <c r="M281" s="43">
        <f>SUM(M94*weighting!$D$6,Segmented!M109*weighting!$D$7,Segmented!M124*weighting!$D$8)</f>
        <v>0</v>
      </c>
      <c r="N281">
        <f t="shared" si="50"/>
        <v>0</v>
      </c>
      <c r="O281" s="43">
        <f>SUM(O94*weighting!$D$6,Segmented!O109*weighting!$D$7,Segmented!O124*weighting!$D$8)</f>
        <v>0</v>
      </c>
      <c r="P281">
        <f t="shared" si="51"/>
        <v>0</v>
      </c>
      <c r="Q281" s="43">
        <f>SUM(Q94*weighting!$D$6,Segmented!Q109*weighting!$D$7,Segmented!Q124*weighting!$D$8)</f>
        <v>-0.11974287287715706</v>
      </c>
      <c r="R281" t="str">
        <f t="shared" si="52"/>
        <v>ResSpHtFAFZ1</v>
      </c>
    </row>
    <row r="282" spans="1:18">
      <c r="A282" t="str">
        <f t="shared" si="53"/>
        <v>Single Family</v>
      </c>
      <c r="C282" t="str">
        <f t="shared" si="45"/>
        <v>Tier2_indor2_efaf</v>
      </c>
      <c r="D282" t="str">
        <f t="shared" si="46"/>
        <v>Coolkwh</v>
      </c>
      <c r="E282" s="43">
        <f>SUM(E95*weighting!$D$6,Segmented!E110*weighting!$D$7,Segmented!E125*weighting!$D$8)</f>
        <v>0</v>
      </c>
      <c r="F282">
        <f t="shared" si="47"/>
        <v>13</v>
      </c>
      <c r="G282" s="43">
        <f>SUM(G95*weighting!$D$6,Segmented!G110*weighting!$D$7,Segmented!G125*weighting!$D$8)</f>
        <v>0</v>
      </c>
      <c r="H282" s="43">
        <f>SUM(H95*weighting!$D$6,Segmented!H110*weighting!$D$7,Segmented!H125*weighting!$D$8)</f>
        <v>0</v>
      </c>
      <c r="I282" t="str">
        <f t="shared" si="48"/>
        <v>ResCACPNW</v>
      </c>
      <c r="J282" s="43">
        <f>SUM(J95*weighting!$D$6,Segmented!J110*weighting!$D$7,Segmented!J125*weighting!$D$8)</f>
        <v>-0.60507874701643671</v>
      </c>
      <c r="K282" s="43">
        <f>SUM(K95*weighting!$D$6,Segmented!K110*weighting!$D$7,Segmented!K125*weighting!$D$8)</f>
        <v>0</v>
      </c>
      <c r="L282">
        <f t="shared" si="49"/>
        <v>0</v>
      </c>
      <c r="M282" s="43">
        <f>SUM(M95*weighting!$D$6,Segmented!M110*weighting!$D$7,Segmented!M125*weighting!$D$8)</f>
        <v>0</v>
      </c>
      <c r="N282">
        <f t="shared" si="50"/>
        <v>0</v>
      </c>
      <c r="O282" s="43">
        <f>SUM(O95*weighting!$D$6,Segmented!O110*weighting!$D$7,Segmented!O125*weighting!$D$8)</f>
        <v>0</v>
      </c>
      <c r="P282">
        <f t="shared" si="51"/>
        <v>0</v>
      </c>
      <c r="Q282" s="43">
        <f>SUM(Q95*weighting!$D$6,Segmented!Q110*weighting!$D$7,Segmented!Q125*weighting!$D$8)</f>
        <v>0</v>
      </c>
      <c r="R282" t="str">
        <f t="shared" si="52"/>
        <v/>
      </c>
    </row>
    <row r="283" spans="1:18">
      <c r="A283" t="str">
        <f t="shared" si="53"/>
        <v>Single Family</v>
      </c>
      <c r="C283" t="str">
        <f t="shared" si="45"/>
        <v>Tier2_indor2_hp85</v>
      </c>
      <c r="D283" t="str">
        <f t="shared" si="46"/>
        <v>DHWkwh</v>
      </c>
      <c r="E283" s="43">
        <f>SUM(E96*weighting!$D$6,Segmented!E111*weighting!$D$7,Segmented!E126*weighting!$D$8)</f>
        <v>88.060231678776773</v>
      </c>
      <c r="F283">
        <f t="shared" si="47"/>
        <v>13</v>
      </c>
      <c r="G283" s="43">
        <f>SUM(G96*weighting!$D$6,Segmented!G111*weighting!$D$7,Segmented!G126*weighting!$D$8)</f>
        <v>1183.5005381933324</v>
      </c>
      <c r="H283" s="43">
        <f>SUM(H96*weighting!$D$6,Segmented!H111*weighting!$D$7,Segmented!H126*weighting!$D$8)</f>
        <v>0</v>
      </c>
      <c r="I283" t="str">
        <f t="shared" si="48"/>
        <v>ResDHW</v>
      </c>
      <c r="J283" s="43">
        <f>SUM(J96*weighting!$D$6,Segmented!J111*weighting!$D$7,Segmented!J126*weighting!$D$8)</f>
        <v>-0.37094334468082091</v>
      </c>
      <c r="K283" s="43">
        <f>SUM(K96*weighting!$D$6,Segmented!K111*weighting!$D$7,Segmented!K126*weighting!$D$8)</f>
        <v>0</v>
      </c>
      <c r="L283">
        <f t="shared" si="49"/>
        <v>0</v>
      </c>
      <c r="M283" s="43">
        <f>SUM(M96*weighting!$D$6,Segmented!M111*weighting!$D$7,Segmented!M126*weighting!$D$8)</f>
        <v>0</v>
      </c>
      <c r="N283">
        <f t="shared" si="50"/>
        <v>0</v>
      </c>
      <c r="O283" s="43">
        <f>SUM(O96*weighting!$D$6,Segmented!O111*weighting!$D$7,Segmented!O126*weighting!$D$8)</f>
        <v>0</v>
      </c>
      <c r="P283">
        <f t="shared" si="51"/>
        <v>0</v>
      </c>
      <c r="Q283" s="43">
        <f>SUM(Q96*weighting!$D$6,Segmented!Q111*weighting!$D$7,Segmented!Q126*weighting!$D$8)</f>
        <v>0</v>
      </c>
      <c r="R283" t="str">
        <f t="shared" si="52"/>
        <v/>
      </c>
    </row>
    <row r="284" spans="1:18">
      <c r="A284" t="str">
        <f t="shared" si="53"/>
        <v>Single Family</v>
      </c>
      <c r="C284" t="str">
        <f t="shared" si="45"/>
        <v>Tier2_indor2_hp85</v>
      </c>
      <c r="D284" t="str">
        <f t="shared" si="46"/>
        <v>Heatkwh</v>
      </c>
      <c r="E284" s="43">
        <f>SUM(E97*weighting!$D$6,Segmented!E112*weighting!$D$7,Segmented!E127*weighting!$D$8)</f>
        <v>-36.730358594795504</v>
      </c>
      <c r="F284">
        <f t="shared" si="47"/>
        <v>13</v>
      </c>
      <c r="G284" s="43">
        <f>SUM(G97*weighting!$D$6,Segmented!G112*weighting!$D$7,Segmented!G127*weighting!$D$8)</f>
        <v>0</v>
      </c>
      <c r="H284" s="43">
        <f>SUM(H97*weighting!$D$6,Segmented!H112*weighting!$D$7,Segmented!H127*weighting!$D$8)</f>
        <v>0</v>
      </c>
      <c r="I284" t="str">
        <f t="shared" si="48"/>
        <v>ResSpHtHPZ1</v>
      </c>
      <c r="J284" s="43">
        <f>SUM(J97*weighting!$D$6,Segmented!J112*weighting!$D$7,Segmented!J127*weighting!$D$8)</f>
        <v>-0.37094334468082091</v>
      </c>
      <c r="K284" s="43">
        <f>SUM(K97*weighting!$D$6,Segmented!K112*weighting!$D$7,Segmented!K127*weighting!$D$8)</f>
        <v>0</v>
      </c>
      <c r="L284">
        <f t="shared" si="49"/>
        <v>0</v>
      </c>
      <c r="M284" s="43">
        <f>SUM(M97*weighting!$D$6,Segmented!M112*weighting!$D$7,Segmented!M127*weighting!$D$8)</f>
        <v>0</v>
      </c>
      <c r="N284">
        <f t="shared" si="50"/>
        <v>0</v>
      </c>
      <c r="O284" s="43">
        <f>SUM(O97*weighting!$D$6,Segmented!O112*weighting!$D$7,Segmented!O127*weighting!$D$8)</f>
        <v>0</v>
      </c>
      <c r="P284">
        <f t="shared" si="51"/>
        <v>0</v>
      </c>
      <c r="Q284" s="43">
        <f>SUM(Q97*weighting!$D$6,Segmented!Q112*weighting!$D$7,Segmented!Q127*weighting!$D$8)</f>
        <v>-6.9490010107839964E-2</v>
      </c>
      <c r="R284" t="str">
        <f t="shared" si="52"/>
        <v>ResSpHtHPZ1</v>
      </c>
    </row>
    <row r="285" spans="1:18">
      <c r="A285" t="str">
        <f t="shared" si="53"/>
        <v>Single Family</v>
      </c>
      <c r="C285" t="str">
        <f t="shared" si="45"/>
        <v>Tier2_indor2_hp85</v>
      </c>
      <c r="D285" t="str">
        <f t="shared" si="46"/>
        <v>Coolkwh</v>
      </c>
      <c r="E285" s="43">
        <f>SUM(E98*weighting!$D$6,Segmented!E113*weighting!$D$7,Segmented!E128*weighting!$D$8)</f>
        <v>-4.8043358751706648</v>
      </c>
      <c r="F285">
        <f t="shared" si="47"/>
        <v>13</v>
      </c>
      <c r="G285" s="43">
        <f>SUM(G98*weighting!$D$6,Segmented!G113*weighting!$D$7,Segmented!G128*weighting!$D$8)</f>
        <v>0</v>
      </c>
      <c r="H285" s="43">
        <f>SUM(H98*weighting!$D$6,Segmented!H113*weighting!$D$7,Segmented!H128*weighting!$D$8)</f>
        <v>0</v>
      </c>
      <c r="I285" t="str">
        <f t="shared" si="48"/>
        <v>ResCACPNW</v>
      </c>
      <c r="J285" s="43">
        <f>SUM(J98*weighting!$D$6,Segmented!J113*weighting!$D$7,Segmented!J128*weighting!$D$8)</f>
        <v>-0.37094334468082091</v>
      </c>
      <c r="K285" s="43">
        <f>SUM(K98*weighting!$D$6,Segmented!K113*weighting!$D$7,Segmented!K128*weighting!$D$8)</f>
        <v>0</v>
      </c>
      <c r="L285">
        <f t="shared" si="49"/>
        <v>0</v>
      </c>
      <c r="M285" s="43">
        <f>SUM(M98*weighting!$D$6,Segmented!M113*weighting!$D$7,Segmented!M128*weighting!$D$8)</f>
        <v>0</v>
      </c>
      <c r="N285">
        <f t="shared" si="50"/>
        <v>0</v>
      </c>
      <c r="O285" s="43">
        <f>SUM(O98*weighting!$D$6,Segmented!O113*weighting!$D$7,Segmented!O128*weighting!$D$8)</f>
        <v>0</v>
      </c>
      <c r="P285">
        <f t="shared" si="51"/>
        <v>0</v>
      </c>
      <c r="Q285" s="43">
        <f>SUM(Q98*weighting!$D$6,Segmented!Q113*weighting!$D$7,Segmented!Q128*weighting!$D$8)</f>
        <v>0</v>
      </c>
      <c r="R285" t="str">
        <f t="shared" si="52"/>
        <v/>
      </c>
    </row>
    <row r="286" spans="1:18">
      <c r="A286" t="str">
        <f t="shared" si="53"/>
        <v>Single Family</v>
      </c>
      <c r="C286" t="str">
        <f t="shared" si="45"/>
        <v>Tier2_indor2_zonl</v>
      </c>
      <c r="D286" t="str">
        <f t="shared" si="46"/>
        <v>DHWkwh</v>
      </c>
      <c r="E286" s="43">
        <f>SUM(E99*weighting!$D$6,Segmented!E114*weighting!$D$7,Segmented!E129*weighting!$D$8)</f>
        <v>82.759162084041577</v>
      </c>
      <c r="F286">
        <f t="shared" si="47"/>
        <v>13</v>
      </c>
      <c r="G286" s="43">
        <f>SUM(G99*weighting!$D$6,Segmented!G114*weighting!$D$7,Segmented!G129*weighting!$D$8)</f>
        <v>1183.5005381933324</v>
      </c>
      <c r="H286" s="43">
        <f>SUM(H99*weighting!$D$6,Segmented!H114*weighting!$D$7,Segmented!H129*weighting!$D$8)</f>
        <v>0</v>
      </c>
      <c r="I286" t="str">
        <f t="shared" si="48"/>
        <v>ResDHW</v>
      </c>
      <c r="J286" s="43">
        <f>SUM(J99*weighting!$D$6,Segmented!J114*weighting!$D$7,Segmented!J129*weighting!$D$8)</f>
        <v>-0.53678994236920285</v>
      </c>
      <c r="K286" s="43">
        <f>SUM(K99*weighting!$D$6,Segmented!K114*weighting!$D$7,Segmented!K129*weighting!$D$8)</f>
        <v>0</v>
      </c>
      <c r="L286">
        <f t="shared" si="49"/>
        <v>0</v>
      </c>
      <c r="M286" s="43">
        <f>SUM(M99*weighting!$D$6,Segmented!M114*weighting!$D$7,Segmented!M129*weighting!$D$8)</f>
        <v>0</v>
      </c>
      <c r="N286">
        <f t="shared" si="50"/>
        <v>0</v>
      </c>
      <c r="O286" s="43">
        <f>SUM(O99*weighting!$D$6,Segmented!O114*weighting!$D$7,Segmented!O129*weighting!$D$8)</f>
        <v>0</v>
      </c>
      <c r="P286">
        <f t="shared" si="51"/>
        <v>0</v>
      </c>
      <c r="Q286" s="43">
        <f>SUM(Q99*weighting!$D$6,Segmented!Q114*weighting!$D$7,Segmented!Q129*weighting!$D$8)</f>
        <v>0</v>
      </c>
      <c r="R286" t="str">
        <f t="shared" si="52"/>
        <v/>
      </c>
    </row>
    <row r="287" spans="1:18">
      <c r="A287" t="str">
        <f t="shared" si="53"/>
        <v>Single Family</v>
      </c>
      <c r="C287" t="str">
        <f t="shared" si="45"/>
        <v>Tier2_indor2_zonl</v>
      </c>
      <c r="D287" t="str">
        <f t="shared" si="46"/>
        <v>Heatkwh</v>
      </c>
      <c r="E287" s="43">
        <f>SUM(E100*weighting!$D$6,Segmented!E115*weighting!$D$7,Segmented!E130*weighting!$D$8)</f>
        <v>-53.088317947567184</v>
      </c>
      <c r="F287">
        <f t="shared" si="47"/>
        <v>13</v>
      </c>
      <c r="G287" s="43">
        <f>SUM(G100*weighting!$D$6,Segmented!G115*weighting!$D$7,Segmented!G130*weighting!$D$8)</f>
        <v>0</v>
      </c>
      <c r="H287" s="43">
        <f>SUM(H100*weighting!$D$6,Segmented!H115*weighting!$D$7,Segmented!H130*weighting!$D$8)</f>
        <v>0</v>
      </c>
      <c r="I287" t="str">
        <f t="shared" si="48"/>
        <v>ResSpHtBBZ1</v>
      </c>
      <c r="J287" s="43">
        <f>SUM(J100*weighting!$D$6,Segmented!J115*weighting!$D$7,Segmented!J130*weighting!$D$8)</f>
        <v>-0.53678994236920285</v>
      </c>
      <c r="K287" s="43">
        <f>SUM(K100*weighting!$D$6,Segmented!K115*weighting!$D$7,Segmented!K130*weighting!$D$8)</f>
        <v>0</v>
      </c>
      <c r="L287">
        <f t="shared" si="49"/>
        <v>0</v>
      </c>
      <c r="M287" s="43">
        <f>SUM(M100*weighting!$D$6,Segmented!M115*weighting!$D$7,Segmented!M130*weighting!$D$8)</f>
        <v>0</v>
      </c>
      <c r="N287">
        <f t="shared" si="50"/>
        <v>0</v>
      </c>
      <c r="O287" s="43">
        <f>SUM(O100*weighting!$D$6,Segmented!O115*weighting!$D$7,Segmented!O130*weighting!$D$8)</f>
        <v>0</v>
      </c>
      <c r="P287">
        <f t="shared" si="51"/>
        <v>0</v>
      </c>
      <c r="Q287" s="43">
        <f>SUM(Q100*weighting!$D$6,Segmented!Q115*weighting!$D$7,Segmented!Q130*weighting!$D$8)</f>
        <v>-0.10629003081412733</v>
      </c>
      <c r="R287" t="str">
        <f t="shared" si="52"/>
        <v>ResSpHtBBZ1</v>
      </c>
    </row>
    <row r="288" spans="1:18">
      <c r="A288" t="str">
        <f t="shared" si="53"/>
        <v>Single Family</v>
      </c>
      <c r="C288" t="str">
        <f t="shared" si="45"/>
        <v>Tier2_indor2_zonl</v>
      </c>
      <c r="D288" t="str">
        <f t="shared" si="46"/>
        <v>Coolkwh</v>
      </c>
      <c r="E288" s="43">
        <f>SUM(E101*weighting!$D$6,Segmented!E116*weighting!$D$7,Segmented!E131*weighting!$D$8)</f>
        <v>0</v>
      </c>
      <c r="F288">
        <f t="shared" si="47"/>
        <v>13</v>
      </c>
      <c r="G288" s="43">
        <f>SUM(G101*weighting!$D$6,Segmented!G116*weighting!$D$7,Segmented!G131*weighting!$D$8)</f>
        <v>0</v>
      </c>
      <c r="H288" s="43">
        <f>SUM(H101*weighting!$D$6,Segmented!H116*weighting!$D$7,Segmented!H131*weighting!$D$8)</f>
        <v>0</v>
      </c>
      <c r="I288" t="str">
        <f t="shared" si="48"/>
        <v>ResCACPNW</v>
      </c>
      <c r="J288" s="43">
        <f>SUM(J101*weighting!$D$6,Segmented!J116*weighting!$D$7,Segmented!J131*weighting!$D$8)</f>
        <v>-0.53678994236920285</v>
      </c>
      <c r="K288" s="43">
        <f>SUM(K101*weighting!$D$6,Segmented!K116*weighting!$D$7,Segmented!K131*weighting!$D$8)</f>
        <v>0</v>
      </c>
      <c r="L288">
        <f t="shared" si="49"/>
        <v>0</v>
      </c>
      <c r="M288" s="43">
        <f>SUM(M101*weighting!$D$6,Segmented!M116*weighting!$D$7,Segmented!M131*weighting!$D$8)</f>
        <v>0</v>
      </c>
      <c r="N288">
        <f t="shared" si="50"/>
        <v>0</v>
      </c>
      <c r="O288" s="43">
        <f>SUM(O101*weighting!$D$6,Segmented!O116*weighting!$D$7,Segmented!O131*weighting!$D$8)</f>
        <v>0</v>
      </c>
      <c r="P288">
        <f t="shared" si="51"/>
        <v>0</v>
      </c>
      <c r="Q288" s="43">
        <f>SUM(Q101*weighting!$D$6,Segmented!Q116*weighting!$D$7,Segmented!Q131*weighting!$D$8)</f>
        <v>0</v>
      </c>
      <c r="R288" t="str">
        <f t="shared" si="52"/>
        <v/>
      </c>
    </row>
    <row r="289" spans="1:18">
      <c r="A289" t="s">
        <v>53</v>
      </c>
      <c r="C289" t="str">
        <f>LEFT(C132,FIND("_HZ",C132)-1)</f>
        <v>Tier1_garage</v>
      </c>
      <c r="D289" t="str">
        <f>D132</f>
        <v>DHWkwh</v>
      </c>
      <c r="E289" s="43">
        <f>SUM(E132*weighting!$D$14,Segmented!E135*weighting!$D$15,Segmented!E138*weighting!$D$16)</f>
        <v>939.9177593105162</v>
      </c>
      <c r="F289">
        <f>F132</f>
        <v>13</v>
      </c>
      <c r="G289">
        <f>G132</f>
        <v>724.5875237038573</v>
      </c>
      <c r="H289">
        <f>H132</f>
        <v>0</v>
      </c>
      <c r="I289" t="str">
        <f>I132</f>
        <v>ResDHW</v>
      </c>
      <c r="J289" s="43">
        <f>SUM(J132*weighting!$D$14,Segmented!J135*weighting!$D$15,Segmented!J138*weighting!$D$16)</f>
        <v>0</v>
      </c>
      <c r="K289">
        <f t="shared" ref="K289:P289" si="54">K132</f>
        <v>0</v>
      </c>
      <c r="L289">
        <f t="shared" si="54"/>
        <v>0</v>
      </c>
      <c r="M289">
        <f t="shared" si="54"/>
        <v>0</v>
      </c>
      <c r="N289">
        <f t="shared" si="54"/>
        <v>0</v>
      </c>
      <c r="O289">
        <f t="shared" si="54"/>
        <v>0</v>
      </c>
      <c r="P289">
        <f t="shared" si="54"/>
        <v>0</v>
      </c>
      <c r="Q289" s="43">
        <f>SUM(Q132*weighting!$D$14,Segmented!Q135*weighting!$D$15,Segmented!Q138*weighting!$D$16)</f>
        <v>0</v>
      </c>
      <c r="R289" t="str">
        <f>R132</f>
        <v/>
      </c>
    </row>
    <row r="290" spans="1:18">
      <c r="A290" t="s">
        <v>53</v>
      </c>
      <c r="C290" t="str">
        <f t="shared" ref="C290:C291" si="55">LEFT(C133,FIND("_HZ",C133)-1)</f>
        <v>Tier1_garage</v>
      </c>
      <c r="D290" t="str">
        <f t="shared" ref="D290:D291" si="56">D133</f>
        <v>Heatkwh</v>
      </c>
      <c r="E290" s="43">
        <f>SUM(E133*weighting!$D$14,Segmented!E136*weighting!$D$15,Segmented!E139*weighting!$D$16)</f>
        <v>0</v>
      </c>
      <c r="F290">
        <f t="shared" ref="F290:I290" si="57">F133</f>
        <v>13</v>
      </c>
      <c r="G290">
        <f t="shared" si="57"/>
        <v>0</v>
      </c>
      <c r="H290">
        <f t="shared" si="57"/>
        <v>0</v>
      </c>
      <c r="I290" t="str">
        <f t="shared" si="57"/>
        <v>ResSpHtFAFZ1</v>
      </c>
      <c r="J290" s="43">
        <f>SUM(J133*weighting!$D$14,Segmented!J136*weighting!$D$15,Segmented!J139*weighting!$D$16)</f>
        <v>0</v>
      </c>
      <c r="K290">
        <f t="shared" ref="K290:P290" si="58">K133</f>
        <v>0</v>
      </c>
      <c r="L290">
        <f t="shared" si="58"/>
        <v>0</v>
      </c>
      <c r="M290">
        <f t="shared" si="58"/>
        <v>0</v>
      </c>
      <c r="N290">
        <f t="shared" si="58"/>
        <v>0</v>
      </c>
      <c r="O290">
        <f t="shared" si="58"/>
        <v>0</v>
      </c>
      <c r="P290">
        <f t="shared" si="58"/>
        <v>0</v>
      </c>
      <c r="Q290" s="43">
        <f>SUM(Q133*weighting!$D$14,Segmented!Q136*weighting!$D$15,Segmented!Q139*weighting!$D$16)</f>
        <v>0</v>
      </c>
      <c r="R290" t="str">
        <f t="shared" ref="R290:R291" si="59">R133</f>
        <v/>
      </c>
    </row>
    <row r="291" spans="1:18">
      <c r="A291" t="s">
        <v>53</v>
      </c>
      <c r="C291" t="str">
        <f t="shared" si="55"/>
        <v>Tier1_garage</v>
      </c>
      <c r="D291" t="str">
        <f t="shared" si="56"/>
        <v>Coolkwh</v>
      </c>
      <c r="E291" s="43">
        <f>SUM(E134*weighting!$D$14,Segmented!E137*weighting!$D$15,Segmented!E140*weighting!$D$16)</f>
        <v>0</v>
      </c>
      <c r="F291">
        <f t="shared" ref="F291:I291" si="60">F134</f>
        <v>13</v>
      </c>
      <c r="G291">
        <f t="shared" si="60"/>
        <v>0</v>
      </c>
      <c r="H291">
        <f t="shared" si="60"/>
        <v>0</v>
      </c>
      <c r="I291" t="str">
        <f t="shared" si="60"/>
        <v>ResCACPNW</v>
      </c>
      <c r="J291" s="43">
        <f>SUM(J134*weighting!$D$14,Segmented!J137*weighting!$D$15,Segmented!J140*weighting!$D$16)</f>
        <v>0</v>
      </c>
      <c r="K291">
        <f t="shared" ref="K291:P291" si="61">K134</f>
        <v>0</v>
      </c>
      <c r="L291">
        <f t="shared" si="61"/>
        <v>0</v>
      </c>
      <c r="M291">
        <f t="shared" si="61"/>
        <v>0</v>
      </c>
      <c r="N291">
        <f t="shared" si="61"/>
        <v>0</v>
      </c>
      <c r="O291">
        <f t="shared" si="61"/>
        <v>0</v>
      </c>
      <c r="P291">
        <f t="shared" si="61"/>
        <v>0</v>
      </c>
      <c r="Q291" s="43">
        <f>SUM(Q134*weighting!$D$14,Segmented!Q137*weighting!$D$15,Segmented!Q140*weighting!$D$16)</f>
        <v>0</v>
      </c>
      <c r="R291" t="str">
        <f t="shared" si="59"/>
        <v/>
      </c>
    </row>
    <row r="292" spans="1:18">
      <c r="A292" t="s">
        <v>53</v>
      </c>
      <c r="C292" t="str">
        <f>CONCATENATE(LEFT(C141,FIND("_HZ",C141)-1),"_",RIGHT(C141,4))</f>
        <v>Tier1_indor2_gfnc</v>
      </c>
      <c r="D292" t="str">
        <f>D141</f>
        <v>DHWkwh</v>
      </c>
      <c r="E292" s="43">
        <f>SUM(E141*weighting!$D$14,Segmented!E156*weighting!$D$15,Segmented!E171*weighting!$D$16)</f>
        <v>1271.3874301974433</v>
      </c>
      <c r="F292">
        <f>F141</f>
        <v>13</v>
      </c>
      <c r="G292">
        <f>G141</f>
        <v>724.5875237038573</v>
      </c>
      <c r="H292">
        <f>H141</f>
        <v>0</v>
      </c>
      <c r="I292" t="str">
        <f>I141</f>
        <v>ResDHW</v>
      </c>
      <c r="J292" s="43">
        <f>SUM(J141*weighting!$D$14,Segmented!J156*weighting!$D$15,Segmented!J171*weighting!$D$16)</f>
        <v>-4.8682313075785526</v>
      </c>
      <c r="K292">
        <f t="shared" ref="K292:P292" si="62">K141</f>
        <v>0</v>
      </c>
      <c r="L292">
        <f t="shared" si="62"/>
        <v>0</v>
      </c>
      <c r="M292">
        <f t="shared" si="62"/>
        <v>0</v>
      </c>
      <c r="N292">
        <f t="shared" si="62"/>
        <v>0</v>
      </c>
      <c r="O292">
        <f t="shared" si="62"/>
        <v>0</v>
      </c>
      <c r="P292">
        <f t="shared" si="62"/>
        <v>0</v>
      </c>
      <c r="Q292" s="43">
        <f>SUM(Q141*weighting!$D$14,Segmented!Q156*weighting!$D$15,Segmented!Q171*weighting!$D$16)</f>
        <v>0</v>
      </c>
      <c r="R292" t="str">
        <f>R141</f>
        <v/>
      </c>
    </row>
    <row r="293" spans="1:18">
      <c r="A293" t="s">
        <v>53</v>
      </c>
      <c r="C293" t="str">
        <f t="shared" ref="C293:C306" si="63">CONCATENATE(LEFT(C142,FIND("_HZ",C142)-1),"_",RIGHT(C142,4))</f>
        <v>Tier1_indor2_gfnc</v>
      </c>
      <c r="D293" t="str">
        <f t="shared" ref="D293:D306" si="64">D142</f>
        <v>Heatkwh</v>
      </c>
      <c r="E293" s="43">
        <f>SUM(E142*weighting!$D$14,Segmented!E157*weighting!$D$15,Segmented!E172*weighting!$D$16)</f>
        <v>-12.894946349935299</v>
      </c>
      <c r="F293">
        <f t="shared" ref="F293:I293" si="65">F142</f>
        <v>13</v>
      </c>
      <c r="G293">
        <f t="shared" si="65"/>
        <v>0</v>
      </c>
      <c r="H293">
        <f t="shared" si="65"/>
        <v>0</v>
      </c>
      <c r="I293" t="str">
        <f t="shared" si="65"/>
        <v>ResSpHtFAFZ1</v>
      </c>
      <c r="J293" s="43">
        <f>SUM(J142*weighting!$D$14,Segmented!J157*weighting!$D$15,Segmented!J172*weighting!$D$16)</f>
        <v>-4.8682313075785526</v>
      </c>
      <c r="K293">
        <f t="shared" ref="K293:P293" si="66">K142</f>
        <v>0</v>
      </c>
      <c r="L293">
        <f t="shared" si="66"/>
        <v>0</v>
      </c>
      <c r="M293">
        <f t="shared" si="66"/>
        <v>0</v>
      </c>
      <c r="N293">
        <f t="shared" si="66"/>
        <v>0</v>
      </c>
      <c r="O293">
        <f t="shared" si="66"/>
        <v>0</v>
      </c>
      <c r="P293">
        <f t="shared" si="66"/>
        <v>0</v>
      </c>
      <c r="Q293" s="43">
        <f>SUM(Q142*weighting!$D$14,Segmented!Q157*weighting!$D$15,Segmented!Q172*weighting!$D$16)</f>
        <v>-18.818740530000344</v>
      </c>
      <c r="R293" t="str">
        <f t="shared" ref="R293:R306" si="67">R142</f>
        <v>ResSpHtFAFZ1</v>
      </c>
    </row>
    <row r="294" spans="1:18">
      <c r="A294" t="s">
        <v>53</v>
      </c>
      <c r="C294" t="str">
        <f t="shared" si="63"/>
        <v>Tier1_indor2_gfnc</v>
      </c>
      <c r="D294" t="str">
        <f t="shared" si="64"/>
        <v>Coolkwh</v>
      </c>
      <c r="E294" s="43">
        <f>SUM(E143*weighting!$D$14,Segmented!E158*weighting!$D$15,Segmented!E173*weighting!$D$16)</f>
        <v>0</v>
      </c>
      <c r="F294">
        <f t="shared" ref="F294:I294" si="68">F143</f>
        <v>13</v>
      </c>
      <c r="G294">
        <f t="shared" si="68"/>
        <v>0</v>
      </c>
      <c r="H294">
        <f t="shared" si="68"/>
        <v>0</v>
      </c>
      <c r="I294" t="str">
        <f t="shared" si="68"/>
        <v>ResCACPNW</v>
      </c>
      <c r="J294" s="43">
        <f>SUM(J143*weighting!$D$14,Segmented!J158*weighting!$D$15,Segmented!J173*weighting!$D$16)</f>
        <v>-4.8682313075785526</v>
      </c>
      <c r="K294">
        <f t="shared" ref="K294:P294" si="69">K143</f>
        <v>0</v>
      </c>
      <c r="L294">
        <f t="shared" si="69"/>
        <v>0</v>
      </c>
      <c r="M294">
        <f t="shared" si="69"/>
        <v>0</v>
      </c>
      <c r="N294">
        <f t="shared" si="69"/>
        <v>0</v>
      </c>
      <c r="O294">
        <f t="shared" si="69"/>
        <v>0</v>
      </c>
      <c r="P294">
        <f t="shared" si="69"/>
        <v>0</v>
      </c>
      <c r="Q294" s="43">
        <f>SUM(Q143*weighting!$D$14,Segmented!Q158*weighting!$D$15,Segmented!Q173*weighting!$D$16)</f>
        <v>0</v>
      </c>
      <c r="R294" t="str">
        <f t="shared" si="67"/>
        <v/>
      </c>
    </row>
    <row r="295" spans="1:18">
      <c r="A295" t="s">
        <v>53</v>
      </c>
      <c r="C295" t="str">
        <f t="shared" si="63"/>
        <v>Tier1_indor2_gfac</v>
      </c>
      <c r="D295" t="str">
        <f t="shared" si="64"/>
        <v>DHWkwh</v>
      </c>
      <c r="E295" s="43">
        <f>SUM(E144*weighting!$D$14,Segmented!E159*weighting!$D$15,Segmented!E174*weighting!$D$16)</f>
        <v>1256.8914656855256</v>
      </c>
      <c r="F295">
        <f t="shared" ref="F295:I295" si="70">F144</f>
        <v>13</v>
      </c>
      <c r="G295">
        <f t="shared" si="70"/>
        <v>724.5875237038573</v>
      </c>
      <c r="H295">
        <f t="shared" si="70"/>
        <v>0</v>
      </c>
      <c r="I295" t="str">
        <f t="shared" si="70"/>
        <v>ResDHW</v>
      </c>
      <c r="J295" s="43">
        <f>SUM(J144*weighting!$D$14,Segmented!J159*weighting!$D$15,Segmented!J174*weighting!$D$16)</f>
        <v>-4.9203717908006261</v>
      </c>
      <c r="K295">
        <f t="shared" ref="K295:P295" si="71">K144</f>
        <v>0</v>
      </c>
      <c r="L295">
        <f t="shared" si="71"/>
        <v>0</v>
      </c>
      <c r="M295">
        <f t="shared" si="71"/>
        <v>0</v>
      </c>
      <c r="N295">
        <f t="shared" si="71"/>
        <v>0</v>
      </c>
      <c r="O295">
        <f t="shared" si="71"/>
        <v>0</v>
      </c>
      <c r="P295">
        <f t="shared" si="71"/>
        <v>0</v>
      </c>
      <c r="Q295" s="43">
        <f>SUM(Q144*weighting!$D$14,Segmented!Q159*weighting!$D$15,Segmented!Q174*weighting!$D$16)</f>
        <v>0</v>
      </c>
      <c r="R295" t="str">
        <f t="shared" si="67"/>
        <v/>
      </c>
    </row>
    <row r="296" spans="1:18">
      <c r="A296" t="s">
        <v>53</v>
      </c>
      <c r="C296" t="str">
        <f t="shared" si="63"/>
        <v>Tier1_indor2_gfac</v>
      </c>
      <c r="D296" t="str">
        <f t="shared" si="64"/>
        <v>Heatkwh</v>
      </c>
      <c r="E296" s="43">
        <f>SUM(E145*weighting!$D$14,Segmented!E160*weighting!$D$15,Segmented!E175*weighting!$D$16)</f>
        <v>-14.080608314333379</v>
      </c>
      <c r="F296">
        <f t="shared" ref="F296:I296" si="72">F145</f>
        <v>13</v>
      </c>
      <c r="G296">
        <f t="shared" si="72"/>
        <v>0</v>
      </c>
      <c r="H296">
        <f t="shared" si="72"/>
        <v>0</v>
      </c>
      <c r="I296" t="str">
        <f t="shared" si="72"/>
        <v>ResSpHtFAFZ1</v>
      </c>
      <c r="J296" s="43">
        <f>SUM(J145*weighting!$D$14,Segmented!J160*weighting!$D$15,Segmented!J175*weighting!$D$16)</f>
        <v>-4.9203717908006261</v>
      </c>
      <c r="K296">
        <f t="shared" ref="K296:P296" si="73">K145</f>
        <v>0</v>
      </c>
      <c r="L296">
        <f t="shared" si="73"/>
        <v>0</v>
      </c>
      <c r="M296">
        <f t="shared" si="73"/>
        <v>0</v>
      </c>
      <c r="N296">
        <f t="shared" si="73"/>
        <v>0</v>
      </c>
      <c r="O296">
        <f t="shared" si="73"/>
        <v>0</v>
      </c>
      <c r="P296">
        <f t="shared" si="73"/>
        <v>0</v>
      </c>
      <c r="Q296" s="43">
        <f>SUM(Q145*weighting!$D$14,Segmented!Q160*weighting!$D$15,Segmented!Q175*weighting!$D$16)</f>
        <v>-18.980054965029311</v>
      </c>
      <c r="R296" t="str">
        <f t="shared" si="67"/>
        <v>ResSpHtFAFZ1</v>
      </c>
    </row>
    <row r="297" spans="1:18">
      <c r="A297" t="s">
        <v>53</v>
      </c>
      <c r="C297" t="str">
        <f t="shared" si="63"/>
        <v>Tier1_indor2_gfac</v>
      </c>
      <c r="D297" t="str">
        <f t="shared" si="64"/>
        <v>Coolkwh</v>
      </c>
      <c r="E297" s="43">
        <f>SUM(E146*weighting!$D$14,Segmented!E161*weighting!$D$15,Segmented!E176*weighting!$D$16)</f>
        <v>30.980944371868173</v>
      </c>
      <c r="F297">
        <f t="shared" ref="F297:I297" si="74">F146</f>
        <v>13</v>
      </c>
      <c r="G297">
        <f t="shared" si="74"/>
        <v>0</v>
      </c>
      <c r="H297">
        <f t="shared" si="74"/>
        <v>0</v>
      </c>
      <c r="I297" t="str">
        <f t="shared" si="74"/>
        <v>ResCACPNW</v>
      </c>
      <c r="J297" s="43">
        <f>SUM(J146*weighting!$D$14,Segmented!J161*weighting!$D$15,Segmented!J176*weighting!$D$16)</f>
        <v>-4.9203717908006261</v>
      </c>
      <c r="K297">
        <f t="shared" ref="K297:P297" si="75">K146</f>
        <v>0</v>
      </c>
      <c r="L297">
        <f t="shared" si="75"/>
        <v>0</v>
      </c>
      <c r="M297">
        <f t="shared" si="75"/>
        <v>0</v>
      </c>
      <c r="N297">
        <f t="shared" si="75"/>
        <v>0</v>
      </c>
      <c r="O297">
        <f t="shared" si="75"/>
        <v>0</v>
      </c>
      <c r="P297">
        <f t="shared" si="75"/>
        <v>0</v>
      </c>
      <c r="Q297" s="43">
        <f>SUM(Q146*weighting!$D$14,Segmented!Q161*weighting!$D$15,Segmented!Q176*weighting!$D$16)</f>
        <v>0</v>
      </c>
      <c r="R297" t="str">
        <f t="shared" si="67"/>
        <v/>
      </c>
    </row>
    <row r="298" spans="1:18">
      <c r="A298" t="s">
        <v>53</v>
      </c>
      <c r="C298" t="str">
        <f t="shared" si="63"/>
        <v>Tier1_indor2_efaf</v>
      </c>
      <c r="D298" t="str">
        <f t="shared" si="64"/>
        <v>DHWkwh</v>
      </c>
      <c r="E298" s="43">
        <f>SUM(E147*weighting!$D$14,Segmented!E162*weighting!$D$15,Segmented!E177*weighting!$D$16)</f>
        <v>1271.3874301974433</v>
      </c>
      <c r="F298">
        <f t="shared" ref="F298:I298" si="76">F147</f>
        <v>13</v>
      </c>
      <c r="G298">
        <f t="shared" si="76"/>
        <v>724.5875237038573</v>
      </c>
      <c r="H298">
        <f t="shared" si="76"/>
        <v>0</v>
      </c>
      <c r="I298" t="str">
        <f t="shared" si="76"/>
        <v>ResDHW</v>
      </c>
      <c r="J298" s="43">
        <f>SUM(J147*weighting!$D$14,Segmented!J162*weighting!$D$15,Segmented!J177*weighting!$D$16)</f>
        <v>-3.4321210290528681</v>
      </c>
      <c r="K298">
        <f t="shared" ref="K298:P298" si="77">K147</f>
        <v>0</v>
      </c>
      <c r="L298">
        <f t="shared" si="77"/>
        <v>0</v>
      </c>
      <c r="M298">
        <f t="shared" si="77"/>
        <v>0</v>
      </c>
      <c r="N298">
        <f t="shared" si="77"/>
        <v>0</v>
      </c>
      <c r="O298">
        <f t="shared" si="77"/>
        <v>0</v>
      </c>
      <c r="P298">
        <f t="shared" si="77"/>
        <v>0</v>
      </c>
      <c r="Q298" s="43">
        <f>SUM(Q147*weighting!$D$14,Segmented!Q162*weighting!$D$15,Segmented!Q177*weighting!$D$16)</f>
        <v>0</v>
      </c>
      <c r="R298" t="str">
        <f t="shared" si="67"/>
        <v/>
      </c>
    </row>
    <row r="299" spans="1:18">
      <c r="A299" t="s">
        <v>53</v>
      </c>
      <c r="C299" t="str">
        <f t="shared" si="63"/>
        <v>Tier1_indor2_efaf</v>
      </c>
      <c r="D299" t="str">
        <f t="shared" si="64"/>
        <v>Heatkwh</v>
      </c>
      <c r="E299" s="43">
        <f>SUM(E148*weighting!$D$14,Segmented!E163*weighting!$D$15,Segmented!E178*weighting!$D$16)</f>
        <v>-340.13690483525392</v>
      </c>
      <c r="F299">
        <f t="shared" ref="F299:I299" si="78">F148</f>
        <v>13</v>
      </c>
      <c r="G299">
        <f t="shared" si="78"/>
        <v>0</v>
      </c>
      <c r="H299">
        <f t="shared" si="78"/>
        <v>0</v>
      </c>
      <c r="I299" t="str">
        <f t="shared" si="78"/>
        <v>ResSpHtFAFZ1</v>
      </c>
      <c r="J299" s="43">
        <f>SUM(J148*weighting!$D$14,Segmented!J163*weighting!$D$15,Segmented!J178*weighting!$D$16)</f>
        <v>-3.4321210290528681</v>
      </c>
      <c r="K299">
        <f t="shared" ref="K299:P299" si="79">K148</f>
        <v>0</v>
      </c>
      <c r="L299">
        <f t="shared" si="79"/>
        <v>0</v>
      </c>
      <c r="M299">
        <f t="shared" si="79"/>
        <v>0</v>
      </c>
      <c r="N299">
        <f t="shared" si="79"/>
        <v>0</v>
      </c>
      <c r="O299">
        <f t="shared" si="79"/>
        <v>0</v>
      </c>
      <c r="P299">
        <f t="shared" si="79"/>
        <v>0</v>
      </c>
      <c r="Q299" s="43">
        <f>SUM(Q148*weighting!$D$14,Segmented!Q163*weighting!$D$15,Segmented!Q178*weighting!$D$16)</f>
        <v>-0.6167469118019353</v>
      </c>
      <c r="R299" t="str">
        <f t="shared" si="67"/>
        <v>ResSpHtFAFZ1</v>
      </c>
    </row>
    <row r="300" spans="1:18">
      <c r="A300" t="s">
        <v>53</v>
      </c>
      <c r="C300" t="str">
        <f>CONCATENATE(LEFT(C149,FIND("_HZ",C149)-1),"_",RIGHT(C149,4))</f>
        <v>Tier1_indor2_efaf</v>
      </c>
      <c r="D300" t="str">
        <f>D149</f>
        <v>Coolkwh</v>
      </c>
      <c r="E300" s="43">
        <f>SUM(E149*weighting!$D$14,Segmented!E164*weighting!$D$15,Segmented!E179*weighting!$D$16)</f>
        <v>0</v>
      </c>
      <c r="F300">
        <f>F149</f>
        <v>13</v>
      </c>
      <c r="G300">
        <f>G149</f>
        <v>0</v>
      </c>
      <c r="H300">
        <f>H149</f>
        <v>0</v>
      </c>
      <c r="I300" t="str">
        <f>I149</f>
        <v>ResCACPNW</v>
      </c>
      <c r="J300" s="43">
        <f>SUM(J149*weighting!$D$14,Segmented!J164*weighting!$D$15,Segmented!J179*weighting!$D$16)</f>
        <v>-3.4321210290528681</v>
      </c>
      <c r="K300">
        <f t="shared" ref="K300:P300" si="80">K149</f>
        <v>0</v>
      </c>
      <c r="L300">
        <f t="shared" si="80"/>
        <v>0</v>
      </c>
      <c r="M300">
        <f t="shared" si="80"/>
        <v>0</v>
      </c>
      <c r="N300">
        <f t="shared" si="80"/>
        <v>0</v>
      </c>
      <c r="O300">
        <f t="shared" si="80"/>
        <v>0</v>
      </c>
      <c r="P300">
        <f t="shared" si="80"/>
        <v>0</v>
      </c>
      <c r="Q300" s="43">
        <f>SUM(Q149*weighting!$D$14,Segmented!Q164*weighting!$D$15,Segmented!Q179*weighting!$D$16)</f>
        <v>0</v>
      </c>
      <c r="R300" t="str">
        <f>R149</f>
        <v/>
      </c>
    </row>
    <row r="301" spans="1:18">
      <c r="A301" t="s">
        <v>53</v>
      </c>
      <c r="C301" t="str">
        <f t="shared" si="63"/>
        <v>Tier1_indor2_hp85</v>
      </c>
      <c r="D301" t="str">
        <f t="shared" si="64"/>
        <v>DHWkwh</v>
      </c>
      <c r="E301" s="43">
        <f>SUM(E150*weighting!$D$14,Segmented!E165*weighting!$D$15,Segmented!E180*weighting!$D$16)</f>
        <v>1256.8936915400509</v>
      </c>
      <c r="F301">
        <f t="shared" ref="F301:I301" si="81">F150</f>
        <v>13</v>
      </c>
      <c r="G301">
        <f t="shared" si="81"/>
        <v>724.5875237038573</v>
      </c>
      <c r="H301">
        <f t="shared" si="81"/>
        <v>0</v>
      </c>
      <c r="I301" t="str">
        <f t="shared" si="81"/>
        <v>ResDHW</v>
      </c>
      <c r="J301" s="43">
        <f>SUM(J150*weighting!$D$14,Segmented!J165*weighting!$D$15,Segmented!J180*weighting!$D$16)</f>
        <v>-1.8870172572652186</v>
      </c>
      <c r="K301">
        <f t="shared" ref="K301:P301" si="82">K150</f>
        <v>0</v>
      </c>
      <c r="L301">
        <f t="shared" si="82"/>
        <v>0</v>
      </c>
      <c r="M301">
        <f t="shared" si="82"/>
        <v>0</v>
      </c>
      <c r="N301">
        <f t="shared" si="82"/>
        <v>0</v>
      </c>
      <c r="O301">
        <f t="shared" si="82"/>
        <v>0</v>
      </c>
      <c r="P301">
        <f t="shared" si="82"/>
        <v>0</v>
      </c>
      <c r="Q301" s="43">
        <f>SUM(Q150*weighting!$D$14,Segmented!Q165*weighting!$D$15,Segmented!Q180*weighting!$D$16)</f>
        <v>0</v>
      </c>
      <c r="R301" t="str">
        <f t="shared" si="67"/>
        <v/>
      </c>
    </row>
    <row r="302" spans="1:18">
      <c r="A302" t="s">
        <v>53</v>
      </c>
      <c r="C302" t="str">
        <f t="shared" si="63"/>
        <v>Tier1_indor2_hp85</v>
      </c>
      <c r="D302" t="str">
        <f t="shared" si="64"/>
        <v>Heatkwh</v>
      </c>
      <c r="E302" s="43">
        <f>SUM(E151*weighting!$D$14,Segmented!E166*weighting!$D$15,Segmented!E181*weighting!$D$16)</f>
        <v>-187.24934071395714</v>
      </c>
      <c r="F302">
        <f t="shared" ref="F302:I302" si="83">F151</f>
        <v>13</v>
      </c>
      <c r="G302">
        <f t="shared" si="83"/>
        <v>0</v>
      </c>
      <c r="H302">
        <f t="shared" si="83"/>
        <v>0</v>
      </c>
      <c r="I302" t="str">
        <f t="shared" si="83"/>
        <v>ResSpHtHPZ1</v>
      </c>
      <c r="J302" s="43">
        <f>SUM(J151*weighting!$D$14,Segmented!J166*weighting!$D$15,Segmented!J181*weighting!$D$16)</f>
        <v>-1.8870172572652186</v>
      </c>
      <c r="K302">
        <f t="shared" ref="K302:P302" si="84">K151</f>
        <v>0</v>
      </c>
      <c r="L302">
        <f t="shared" si="84"/>
        <v>0</v>
      </c>
      <c r="M302">
        <f t="shared" si="84"/>
        <v>0</v>
      </c>
      <c r="N302">
        <f t="shared" si="84"/>
        <v>0</v>
      </c>
      <c r="O302">
        <f t="shared" si="84"/>
        <v>0</v>
      </c>
      <c r="P302">
        <f t="shared" si="84"/>
        <v>0</v>
      </c>
      <c r="Q302" s="43">
        <f>SUM(Q151*weighting!$D$14,Segmented!Q166*weighting!$D$15,Segmented!Q181*weighting!$D$16)</f>
        <v>-0.31773482851790352</v>
      </c>
      <c r="R302" t="str">
        <f t="shared" si="67"/>
        <v>ResSpHtHPZ1</v>
      </c>
    </row>
    <row r="303" spans="1:18">
      <c r="A303" t="s">
        <v>53</v>
      </c>
      <c r="C303" t="str">
        <f>CONCATENATE(LEFT(C152,FIND("_HZ",C152)-1),"_",RIGHT(C152,4))</f>
        <v>Tier1_indor2_hp85</v>
      </c>
      <c r="D303" t="str">
        <f>D152</f>
        <v>Coolkwh</v>
      </c>
      <c r="E303" s="43">
        <f>SUM(E152*weighting!$D$14,Segmented!E167*weighting!$D$15,Segmented!E182*weighting!$D$16)</f>
        <v>31.160871390892524</v>
      </c>
      <c r="F303">
        <f>F152</f>
        <v>13</v>
      </c>
      <c r="G303">
        <f>G152</f>
        <v>0</v>
      </c>
      <c r="H303">
        <f>H152</f>
        <v>0</v>
      </c>
      <c r="I303" t="str">
        <f>I152</f>
        <v>ResCACPNW</v>
      </c>
      <c r="J303" s="43">
        <f>SUM(J152*weighting!$D$14,Segmented!J167*weighting!$D$15,Segmented!J182*weighting!$D$16)</f>
        <v>-1.8870172572652186</v>
      </c>
      <c r="K303">
        <f t="shared" ref="K303:P303" si="85">K152</f>
        <v>0</v>
      </c>
      <c r="L303">
        <f t="shared" si="85"/>
        <v>0</v>
      </c>
      <c r="M303">
        <f t="shared" si="85"/>
        <v>0</v>
      </c>
      <c r="N303">
        <f t="shared" si="85"/>
        <v>0</v>
      </c>
      <c r="O303">
        <f t="shared" si="85"/>
        <v>0</v>
      </c>
      <c r="P303">
        <f t="shared" si="85"/>
        <v>0</v>
      </c>
      <c r="Q303" s="43">
        <f>SUM(Q152*weighting!$D$14,Segmented!Q167*weighting!$D$15,Segmented!Q182*weighting!$D$16)</f>
        <v>0</v>
      </c>
      <c r="R303" t="str">
        <f>R152</f>
        <v/>
      </c>
    </row>
    <row r="304" spans="1:18">
      <c r="A304" t="s">
        <v>53</v>
      </c>
      <c r="C304" t="str">
        <f t="shared" si="63"/>
        <v>Tier1_indor2_zonl</v>
      </c>
      <c r="D304" t="str">
        <f t="shared" si="64"/>
        <v>DHWkwh</v>
      </c>
      <c r="E304" s="43">
        <f>SUM(E153*weighting!$D$14,Segmented!E168*weighting!$D$15,Segmented!E183*weighting!$D$16)</f>
        <v>1271.3178057500804</v>
      </c>
      <c r="F304">
        <f t="shared" ref="F304:I304" si="86">F153</f>
        <v>13</v>
      </c>
      <c r="G304">
        <f t="shared" si="86"/>
        <v>724.5875237038573</v>
      </c>
      <c r="H304">
        <f t="shared" si="86"/>
        <v>0</v>
      </c>
      <c r="I304" t="str">
        <f t="shared" si="86"/>
        <v>ResDHW</v>
      </c>
      <c r="J304" s="43">
        <f>SUM(J153*weighting!$D$14,Segmented!J168*weighting!$D$15,Segmented!J183*weighting!$D$16)</f>
        <v>-3.0584943802000648</v>
      </c>
      <c r="K304">
        <f t="shared" ref="K304:P304" si="87">K153</f>
        <v>0</v>
      </c>
      <c r="L304">
        <f t="shared" si="87"/>
        <v>0</v>
      </c>
      <c r="M304">
        <f t="shared" si="87"/>
        <v>0</v>
      </c>
      <c r="N304">
        <f t="shared" si="87"/>
        <v>0</v>
      </c>
      <c r="O304">
        <f t="shared" si="87"/>
        <v>0</v>
      </c>
      <c r="P304">
        <f t="shared" si="87"/>
        <v>0</v>
      </c>
      <c r="Q304" s="43">
        <f>SUM(Q153*weighting!$D$14,Segmented!Q168*weighting!$D$15,Segmented!Q183*weighting!$D$16)</f>
        <v>0</v>
      </c>
      <c r="R304" t="str">
        <f t="shared" si="67"/>
        <v/>
      </c>
    </row>
    <row r="305" spans="1:18">
      <c r="A305" t="s">
        <v>53</v>
      </c>
      <c r="C305" t="str">
        <f t="shared" si="63"/>
        <v>Tier1_indor2_zonl</v>
      </c>
      <c r="D305" t="str">
        <f t="shared" si="64"/>
        <v>Heatkwh</v>
      </c>
      <c r="E305" s="43">
        <f>SUM(E154*weighting!$D$14,Segmented!E169*weighting!$D$15,Segmented!E184*weighting!$D$16)</f>
        <v>-303.10267342300324</v>
      </c>
      <c r="F305">
        <f t="shared" ref="F305:I305" si="88">F154</f>
        <v>13</v>
      </c>
      <c r="G305">
        <f t="shared" si="88"/>
        <v>0</v>
      </c>
      <c r="H305">
        <f t="shared" si="88"/>
        <v>0</v>
      </c>
      <c r="I305" t="str">
        <f t="shared" si="88"/>
        <v>ResSpHtBBZ1</v>
      </c>
      <c r="J305" s="43">
        <f>SUM(J154*weighting!$D$14,Segmented!J169*weighting!$D$15,Segmented!J184*weighting!$D$16)</f>
        <v>-3.0584943802000648</v>
      </c>
      <c r="K305">
        <f t="shared" ref="K305:P305" si="89">K154</f>
        <v>0</v>
      </c>
      <c r="L305">
        <f t="shared" si="89"/>
        <v>0</v>
      </c>
      <c r="M305">
        <f t="shared" si="89"/>
        <v>0</v>
      </c>
      <c r="N305">
        <f t="shared" si="89"/>
        <v>0</v>
      </c>
      <c r="O305">
        <f t="shared" si="89"/>
        <v>0</v>
      </c>
      <c r="P305">
        <f t="shared" si="89"/>
        <v>0</v>
      </c>
      <c r="Q305" s="43">
        <f>SUM(Q154*weighting!$D$14,Segmented!Q169*weighting!$D$15,Segmented!Q184*weighting!$D$16)</f>
        <v>-0.55017463396988797</v>
      </c>
      <c r="R305" t="str">
        <f t="shared" si="67"/>
        <v>ResSpHtBBZ1</v>
      </c>
    </row>
    <row r="306" spans="1:18">
      <c r="A306" t="s">
        <v>53</v>
      </c>
      <c r="C306" t="str">
        <f t="shared" si="63"/>
        <v>Tier1_indor2_zonl</v>
      </c>
      <c r="D306" t="str">
        <f t="shared" si="64"/>
        <v>Coolkwh</v>
      </c>
      <c r="E306" s="43">
        <f>SUM(E155*weighting!$D$14,Segmented!E170*weighting!$D$15,Segmented!E185*weighting!$D$16)</f>
        <v>0</v>
      </c>
      <c r="F306">
        <f t="shared" ref="F306:I306" si="90">F155</f>
        <v>13</v>
      </c>
      <c r="G306">
        <f t="shared" si="90"/>
        <v>0</v>
      </c>
      <c r="H306">
        <f t="shared" si="90"/>
        <v>0</v>
      </c>
      <c r="I306" t="str">
        <f t="shared" si="90"/>
        <v>ResCACPNW</v>
      </c>
      <c r="J306" s="43">
        <f>SUM(J155*weighting!$D$14,Segmented!J170*weighting!$D$15,Segmented!J185*weighting!$D$16)</f>
        <v>-3.0584943802000648</v>
      </c>
      <c r="K306">
        <f t="shared" ref="K306:P306" si="91">K155</f>
        <v>0</v>
      </c>
      <c r="L306">
        <f t="shared" si="91"/>
        <v>0</v>
      </c>
      <c r="M306">
        <f t="shared" si="91"/>
        <v>0</v>
      </c>
      <c r="N306">
        <f t="shared" si="91"/>
        <v>0</v>
      </c>
      <c r="O306">
        <f t="shared" si="91"/>
        <v>0</v>
      </c>
      <c r="P306">
        <f t="shared" si="91"/>
        <v>0</v>
      </c>
      <c r="Q306" s="43">
        <f>SUM(Q155*weighting!$D$14,Segmented!Q170*weighting!$D$15,Segmented!Q185*weighting!$D$16)</f>
        <v>0</v>
      </c>
      <c r="R306" t="str">
        <f t="shared" si="67"/>
        <v/>
      </c>
    </row>
    <row r="307" spans="1:18">
      <c r="A307" t="s">
        <v>53</v>
      </c>
      <c r="C307" t="str">
        <f>LEFT(C186,FIND("_HZ",C186)-1)</f>
        <v>Tier2_garage</v>
      </c>
      <c r="D307" t="str">
        <f>D186</f>
        <v>DHWkwh</v>
      </c>
      <c r="E307" s="43">
        <f>SUM(E186*weighting!$D$14,Segmented!E189*weighting!$D$15,Segmented!E192*weighting!$D$16)</f>
        <v>295.29410496999685</v>
      </c>
      <c r="F307">
        <f>F186</f>
        <v>13</v>
      </c>
      <c r="G307">
        <f>G186</f>
        <v>1183.5005381933265</v>
      </c>
      <c r="H307">
        <f>H186</f>
        <v>0</v>
      </c>
      <c r="I307" t="str">
        <f>I186</f>
        <v>ResDHW</v>
      </c>
      <c r="J307" s="43">
        <f>SUM(J186*weighting!$D$14,Segmented!J189*weighting!$D$15,Segmented!J192*weighting!$D$16)</f>
        <v>0</v>
      </c>
      <c r="K307">
        <f t="shared" ref="K307:P307" si="92">K186</f>
        <v>0</v>
      </c>
      <c r="L307">
        <f t="shared" si="92"/>
        <v>0</v>
      </c>
      <c r="M307">
        <f t="shared" si="92"/>
        <v>0</v>
      </c>
      <c r="N307">
        <f t="shared" si="92"/>
        <v>0</v>
      </c>
      <c r="O307">
        <f t="shared" si="92"/>
        <v>0</v>
      </c>
      <c r="P307">
        <f t="shared" si="92"/>
        <v>0</v>
      </c>
      <c r="Q307" s="43">
        <f>SUM(Q186*weighting!$D$14,Segmented!Q189*weighting!$D$15,Segmented!Q192*weighting!$D$16)</f>
        <v>0</v>
      </c>
      <c r="R307" t="str">
        <f>R186</f>
        <v/>
      </c>
    </row>
    <row r="308" spans="1:18">
      <c r="A308" t="s">
        <v>53</v>
      </c>
      <c r="C308" t="str">
        <f t="shared" ref="C308:C309" si="93">LEFT(C187,FIND("_HZ",C187)-1)</f>
        <v>Tier2_garage</v>
      </c>
      <c r="D308" t="str">
        <f t="shared" ref="D308:D309" si="94">D187</f>
        <v>Heatkwh</v>
      </c>
      <c r="E308" s="43">
        <f>SUM(E187*weighting!$D$14,Segmented!E190*weighting!$D$15,Segmented!E193*weighting!$D$16)</f>
        <v>0</v>
      </c>
      <c r="F308">
        <f t="shared" ref="F308:I308" si="95">F187</f>
        <v>13</v>
      </c>
      <c r="G308">
        <f t="shared" si="95"/>
        <v>0</v>
      </c>
      <c r="H308">
        <f t="shared" si="95"/>
        <v>0</v>
      </c>
      <c r="I308" t="str">
        <f t="shared" si="95"/>
        <v>ResSpHtFAFZ1</v>
      </c>
      <c r="J308" s="43">
        <f>SUM(J187*weighting!$D$14,Segmented!J190*weighting!$D$15,Segmented!J193*weighting!$D$16)</f>
        <v>0</v>
      </c>
      <c r="K308">
        <f t="shared" ref="K308:P308" si="96">K187</f>
        <v>0</v>
      </c>
      <c r="L308">
        <f t="shared" si="96"/>
        <v>0</v>
      </c>
      <c r="M308">
        <f t="shared" si="96"/>
        <v>0</v>
      </c>
      <c r="N308">
        <f t="shared" si="96"/>
        <v>0</v>
      </c>
      <c r="O308">
        <f t="shared" si="96"/>
        <v>0</v>
      </c>
      <c r="P308">
        <f t="shared" si="96"/>
        <v>0</v>
      </c>
      <c r="Q308" s="43">
        <f>SUM(Q187*weighting!$D$14,Segmented!Q190*weighting!$D$15,Segmented!Q193*weighting!$D$16)</f>
        <v>0</v>
      </c>
      <c r="R308" t="str">
        <f t="shared" ref="R308:R309" si="97">R187</f>
        <v/>
      </c>
    </row>
    <row r="309" spans="1:18">
      <c r="A309" t="s">
        <v>53</v>
      </c>
      <c r="C309" t="str">
        <f t="shared" si="93"/>
        <v>Tier2_garage</v>
      </c>
      <c r="D309" t="str">
        <f t="shared" si="94"/>
        <v>Coolkwh</v>
      </c>
      <c r="E309" s="43">
        <f>SUM(E188*weighting!$D$14,Segmented!E191*weighting!$D$15,Segmented!E194*weighting!$D$16)</f>
        <v>0</v>
      </c>
      <c r="F309">
        <f t="shared" ref="F309:I309" si="98">F188</f>
        <v>13</v>
      </c>
      <c r="G309">
        <f t="shared" si="98"/>
        <v>0</v>
      </c>
      <c r="H309">
        <f t="shared" si="98"/>
        <v>0</v>
      </c>
      <c r="I309" t="str">
        <f t="shared" si="98"/>
        <v>ResCACPNW</v>
      </c>
      <c r="J309" s="43">
        <f>SUM(J188*weighting!$D$14,Segmented!J191*weighting!$D$15,Segmented!J194*weighting!$D$16)</f>
        <v>0</v>
      </c>
      <c r="K309">
        <f t="shared" ref="K309:P309" si="99">K188</f>
        <v>0</v>
      </c>
      <c r="L309">
        <f t="shared" si="99"/>
        <v>0</v>
      </c>
      <c r="M309">
        <f t="shared" si="99"/>
        <v>0</v>
      </c>
      <c r="N309">
        <f t="shared" si="99"/>
        <v>0</v>
      </c>
      <c r="O309">
        <f t="shared" si="99"/>
        <v>0</v>
      </c>
      <c r="P309">
        <f t="shared" si="99"/>
        <v>0</v>
      </c>
      <c r="Q309" s="43">
        <f>SUM(Q188*weighting!$D$14,Segmented!Q191*weighting!$D$15,Segmented!Q194*weighting!$D$16)</f>
        <v>0</v>
      </c>
      <c r="R309" t="str">
        <f t="shared" si="97"/>
        <v/>
      </c>
    </row>
    <row r="310" spans="1:18">
      <c r="A310" t="s">
        <v>53</v>
      </c>
      <c r="C310" t="str">
        <f>CONCATENATE(LEFT(C195,FIND("_HZ",C195)-1),"_",RIGHT(C195,4))</f>
        <v>Tier2_indor2_gfnc</v>
      </c>
      <c r="D310" t="str">
        <f>D195</f>
        <v>DHWkwh</v>
      </c>
      <c r="E310" s="43">
        <f>SUM(E195*weighting!$D$14,Segmented!E210*weighting!$D$15,Segmented!E225*weighting!$D$16)</f>
        <v>83.314555641672925</v>
      </c>
      <c r="F310">
        <f>F195</f>
        <v>13</v>
      </c>
      <c r="G310">
        <f>G195</f>
        <v>1183.5005381933265</v>
      </c>
      <c r="H310">
        <f>H195</f>
        <v>0</v>
      </c>
      <c r="I310" t="str">
        <f>I195</f>
        <v>ResDHW</v>
      </c>
      <c r="J310" s="43">
        <f>SUM(J195*weighting!$D$14,Segmented!J210*weighting!$D$15,Segmented!J225*weighting!$D$16)</f>
        <v>-0.84882475063995111</v>
      </c>
      <c r="K310">
        <f t="shared" ref="K310:P310" si="100">K195</f>
        <v>0</v>
      </c>
      <c r="L310">
        <f t="shared" si="100"/>
        <v>0</v>
      </c>
      <c r="M310">
        <f t="shared" si="100"/>
        <v>0</v>
      </c>
      <c r="N310">
        <f t="shared" si="100"/>
        <v>0</v>
      </c>
      <c r="O310">
        <f t="shared" si="100"/>
        <v>0</v>
      </c>
      <c r="P310">
        <f t="shared" si="100"/>
        <v>0</v>
      </c>
      <c r="Q310" s="43">
        <f>SUM(Q195*weighting!$D$14,Segmented!Q210*weighting!$D$15,Segmented!Q225*weighting!$D$16)</f>
        <v>0</v>
      </c>
      <c r="R310" t="str">
        <f>R195</f>
        <v/>
      </c>
    </row>
    <row r="311" spans="1:18">
      <c r="A311" t="s">
        <v>53</v>
      </c>
      <c r="C311" t="str">
        <f t="shared" ref="C311:C322" si="101">CONCATENATE(LEFT(C196,FIND("_HZ",C196)-1),"_",RIGHT(C196,4))</f>
        <v>Tier2_indor2_gfnc</v>
      </c>
      <c r="D311" t="str">
        <f t="shared" ref="D311:D324" si="102">D196</f>
        <v>Heatkwh</v>
      </c>
      <c r="E311" s="43">
        <f>SUM(E196*weighting!$D$14,Segmented!E211*weighting!$D$15,Segmented!E226*weighting!$D$16)</f>
        <v>-2.2637514832828005</v>
      </c>
      <c r="F311">
        <f t="shared" ref="F311:I311" si="103">F196</f>
        <v>13</v>
      </c>
      <c r="G311">
        <f t="shared" si="103"/>
        <v>0</v>
      </c>
      <c r="H311">
        <f t="shared" si="103"/>
        <v>0</v>
      </c>
      <c r="I311" t="str">
        <f t="shared" si="103"/>
        <v>ResSpHtFAFZ1</v>
      </c>
      <c r="J311" s="43">
        <f>SUM(J196*weighting!$D$14,Segmented!J211*weighting!$D$15,Segmented!J226*weighting!$D$16)</f>
        <v>-0.84882475063995111</v>
      </c>
      <c r="K311">
        <f t="shared" ref="K311:P311" si="104">K196</f>
        <v>0</v>
      </c>
      <c r="L311">
        <f t="shared" si="104"/>
        <v>0</v>
      </c>
      <c r="M311">
        <f t="shared" si="104"/>
        <v>0</v>
      </c>
      <c r="N311">
        <f t="shared" si="104"/>
        <v>0</v>
      </c>
      <c r="O311">
        <f t="shared" si="104"/>
        <v>0</v>
      </c>
      <c r="P311">
        <f t="shared" si="104"/>
        <v>0</v>
      </c>
      <c r="Q311" s="43">
        <f>SUM(Q196*weighting!$D$14,Segmented!Q211*weighting!$D$15,Segmented!Q226*weighting!$D$16)</f>
        <v>-3.2805277823109287</v>
      </c>
      <c r="R311" t="str">
        <f t="shared" ref="R311:R324" si="105">R196</f>
        <v>ResSpHtFAFZ1</v>
      </c>
    </row>
    <row r="312" spans="1:18">
      <c r="A312" t="s">
        <v>53</v>
      </c>
      <c r="C312" t="str">
        <f t="shared" si="101"/>
        <v>Tier2_indor2_gfnc</v>
      </c>
      <c r="D312" t="str">
        <f t="shared" si="102"/>
        <v>Coolkwh</v>
      </c>
      <c r="E312" s="43">
        <f>SUM(E197*weighting!$D$14,Segmented!E212*weighting!$D$15,Segmented!E227*weighting!$D$16)</f>
        <v>0</v>
      </c>
      <c r="F312">
        <f t="shared" ref="F312:I312" si="106">F197</f>
        <v>13</v>
      </c>
      <c r="G312">
        <f t="shared" si="106"/>
        <v>0</v>
      </c>
      <c r="H312">
        <f t="shared" si="106"/>
        <v>0</v>
      </c>
      <c r="I312" t="str">
        <f t="shared" si="106"/>
        <v>ResCACPNW</v>
      </c>
      <c r="J312" s="43">
        <f>SUM(J197*weighting!$D$14,Segmented!J212*weighting!$D$15,Segmented!J227*weighting!$D$16)</f>
        <v>-0.84882475063995111</v>
      </c>
      <c r="K312">
        <f t="shared" ref="K312:P312" si="107">K197</f>
        <v>0</v>
      </c>
      <c r="L312">
        <f t="shared" si="107"/>
        <v>0</v>
      </c>
      <c r="M312">
        <f t="shared" si="107"/>
        <v>0</v>
      </c>
      <c r="N312">
        <f t="shared" si="107"/>
        <v>0</v>
      </c>
      <c r="O312">
        <f t="shared" si="107"/>
        <v>0</v>
      </c>
      <c r="P312">
        <f t="shared" si="107"/>
        <v>0</v>
      </c>
      <c r="Q312" s="43">
        <f>SUM(Q197*weighting!$D$14,Segmented!Q212*weighting!$D$15,Segmented!Q227*weighting!$D$16)</f>
        <v>0</v>
      </c>
      <c r="R312" t="str">
        <f t="shared" si="105"/>
        <v/>
      </c>
    </row>
    <row r="313" spans="1:18">
      <c r="A313" t="s">
        <v>53</v>
      </c>
      <c r="C313" t="str">
        <f t="shared" si="101"/>
        <v>Tier2_indor2_gfac</v>
      </c>
      <c r="D313" t="str">
        <f t="shared" si="102"/>
        <v>DHWkwh</v>
      </c>
      <c r="E313" s="43">
        <f>SUM(E198*weighting!$D$14,Segmented!E213*weighting!$D$15,Segmented!E228*weighting!$D$16)</f>
        <v>89.057413754093687</v>
      </c>
      <c r="F313">
        <f t="shared" ref="F313:I313" si="108">F198</f>
        <v>13</v>
      </c>
      <c r="G313">
        <f t="shared" si="108"/>
        <v>1183.5005381933265</v>
      </c>
      <c r="H313">
        <f t="shared" si="108"/>
        <v>0</v>
      </c>
      <c r="I313" t="str">
        <f t="shared" si="108"/>
        <v>ResDHW</v>
      </c>
      <c r="J313" s="43">
        <f>SUM(J198*weighting!$D$14,Segmented!J213*weighting!$D$15,Segmented!J228*weighting!$D$16)</f>
        <v>-0.86520382626390335</v>
      </c>
      <c r="K313">
        <f t="shared" ref="K313:P313" si="109">K198</f>
        <v>0</v>
      </c>
      <c r="L313">
        <f t="shared" si="109"/>
        <v>0</v>
      </c>
      <c r="M313">
        <f t="shared" si="109"/>
        <v>0</v>
      </c>
      <c r="N313">
        <f t="shared" si="109"/>
        <v>0</v>
      </c>
      <c r="O313">
        <f t="shared" si="109"/>
        <v>0</v>
      </c>
      <c r="P313">
        <f t="shared" si="109"/>
        <v>0</v>
      </c>
      <c r="Q313" s="43">
        <f>SUM(Q198*weighting!$D$14,Segmented!Q213*weighting!$D$15,Segmented!Q228*weighting!$D$16)</f>
        <v>0</v>
      </c>
      <c r="R313" t="str">
        <f t="shared" si="105"/>
        <v/>
      </c>
    </row>
    <row r="314" spans="1:18">
      <c r="A314" t="s">
        <v>53</v>
      </c>
      <c r="C314" t="str">
        <f t="shared" si="101"/>
        <v>Tier2_indor2_gfac</v>
      </c>
      <c r="D314" t="str">
        <f t="shared" si="102"/>
        <v>Heatkwh</v>
      </c>
      <c r="E314" s="43">
        <f>SUM(E199*weighting!$D$14,Segmented!E214*weighting!$D$15,Segmented!E229*weighting!$D$16)</f>
        <v>-2.477359795878221</v>
      </c>
      <c r="F314">
        <f t="shared" ref="F314:I314" si="110">F199</f>
        <v>13</v>
      </c>
      <c r="G314">
        <f t="shared" si="110"/>
        <v>0</v>
      </c>
      <c r="H314">
        <f t="shared" si="110"/>
        <v>0</v>
      </c>
      <c r="I314" t="str">
        <f t="shared" si="110"/>
        <v>ResSpHtFAFZ1</v>
      </c>
      <c r="J314" s="43">
        <f>SUM(J199*weighting!$D$14,Segmented!J214*weighting!$D$15,Segmented!J229*weighting!$D$16)</f>
        <v>-0.86520382626390335</v>
      </c>
      <c r="K314">
        <f t="shared" ref="K314:P314" si="111">K199</f>
        <v>0</v>
      </c>
      <c r="L314">
        <f t="shared" si="111"/>
        <v>0</v>
      </c>
      <c r="M314">
        <f t="shared" si="111"/>
        <v>0</v>
      </c>
      <c r="N314">
        <f t="shared" si="111"/>
        <v>0</v>
      </c>
      <c r="O314">
        <f t="shared" si="111"/>
        <v>0</v>
      </c>
      <c r="P314">
        <f t="shared" si="111"/>
        <v>0</v>
      </c>
      <c r="Q314" s="43">
        <f>SUM(Q199*weighting!$D$14,Segmented!Q214*weighting!$D$15,Segmented!Q229*weighting!$D$16)</f>
        <v>-3.3370468367574389</v>
      </c>
      <c r="R314" t="str">
        <f t="shared" si="105"/>
        <v>ResSpHtFAFZ1</v>
      </c>
    </row>
    <row r="315" spans="1:18">
      <c r="A315" t="s">
        <v>53</v>
      </c>
      <c r="C315" t="str">
        <f t="shared" si="101"/>
        <v>Tier2_indor2_gfac</v>
      </c>
      <c r="D315" t="str">
        <f t="shared" si="102"/>
        <v>Coolkwh</v>
      </c>
      <c r="E315" s="43">
        <f>SUM(E200*weighting!$D$14,Segmented!E215*weighting!$D$15,Segmented!E230*weighting!$D$16)</f>
        <v>-4.6863626022599112</v>
      </c>
      <c r="F315">
        <f t="shared" ref="F315:I315" si="112">F200</f>
        <v>13</v>
      </c>
      <c r="G315">
        <f t="shared" si="112"/>
        <v>0</v>
      </c>
      <c r="H315">
        <f t="shared" si="112"/>
        <v>0</v>
      </c>
      <c r="I315" t="str">
        <f t="shared" si="112"/>
        <v>ResCACPNW</v>
      </c>
      <c r="J315" s="43">
        <f>SUM(J200*weighting!$D$14,Segmented!J215*weighting!$D$15,Segmented!J230*weighting!$D$16)</f>
        <v>-0.86520382626390335</v>
      </c>
      <c r="K315">
        <f t="shared" ref="K315:P315" si="113">K200</f>
        <v>0</v>
      </c>
      <c r="L315">
        <f t="shared" si="113"/>
        <v>0</v>
      </c>
      <c r="M315">
        <f t="shared" si="113"/>
        <v>0</v>
      </c>
      <c r="N315">
        <f t="shared" si="113"/>
        <v>0</v>
      </c>
      <c r="O315">
        <f t="shared" si="113"/>
        <v>0</v>
      </c>
      <c r="P315">
        <f t="shared" si="113"/>
        <v>0</v>
      </c>
      <c r="Q315" s="43">
        <f>SUM(Q200*weighting!$D$14,Segmented!Q215*weighting!$D$15,Segmented!Q230*weighting!$D$16)</f>
        <v>0</v>
      </c>
      <c r="R315" t="str">
        <f t="shared" si="105"/>
        <v/>
      </c>
    </row>
    <row r="316" spans="1:18">
      <c r="A316" t="s">
        <v>53</v>
      </c>
      <c r="C316" t="str">
        <f t="shared" si="101"/>
        <v>Tier2_indor2_efaf</v>
      </c>
      <c r="D316" t="str">
        <f t="shared" si="102"/>
        <v>DHWkwh</v>
      </c>
      <c r="E316" s="43">
        <f>SUM(E201*weighting!$D$14,Segmented!E216*weighting!$D$15,Segmented!E231*weighting!$D$16)</f>
        <v>83.314555641672925</v>
      </c>
      <c r="F316">
        <f t="shared" ref="F316:I316" si="114">F201</f>
        <v>13</v>
      </c>
      <c r="G316">
        <f t="shared" si="114"/>
        <v>1183.5005381933265</v>
      </c>
      <c r="H316">
        <f t="shared" si="114"/>
        <v>0</v>
      </c>
      <c r="I316" t="str">
        <f t="shared" si="114"/>
        <v>ResDHW</v>
      </c>
      <c r="J316" s="43">
        <f>SUM(J201*weighting!$D$14,Segmented!J216*weighting!$D$15,Segmented!J231*weighting!$D$16)</f>
        <v>-0.59843555031109164</v>
      </c>
      <c r="K316">
        <f t="shared" ref="K316:P316" si="115">K201</f>
        <v>0</v>
      </c>
      <c r="L316">
        <f t="shared" si="115"/>
        <v>0</v>
      </c>
      <c r="M316">
        <f t="shared" si="115"/>
        <v>0</v>
      </c>
      <c r="N316">
        <f t="shared" si="115"/>
        <v>0</v>
      </c>
      <c r="O316">
        <f t="shared" si="115"/>
        <v>0</v>
      </c>
      <c r="P316">
        <f t="shared" si="115"/>
        <v>0</v>
      </c>
      <c r="Q316" s="43">
        <f>SUM(Q201*weighting!$D$14,Segmented!Q216*weighting!$D$15,Segmented!Q231*weighting!$D$16)</f>
        <v>0</v>
      </c>
      <c r="R316" t="str">
        <f t="shared" si="105"/>
        <v/>
      </c>
    </row>
    <row r="317" spans="1:18">
      <c r="A317" t="s">
        <v>53</v>
      </c>
      <c r="C317" t="str">
        <f t="shared" si="101"/>
        <v>Tier2_indor2_efaf</v>
      </c>
      <c r="D317" t="str">
        <f t="shared" si="102"/>
        <v>Heatkwh</v>
      </c>
      <c r="E317" s="43">
        <f>SUM(E202*weighting!$D$14,Segmented!E217*weighting!$D$15,Segmented!E232*weighting!$D$16)</f>
        <v>-59.309250809255715</v>
      </c>
      <c r="F317">
        <f t="shared" ref="F317:I317" si="116">F202</f>
        <v>13</v>
      </c>
      <c r="G317">
        <f t="shared" si="116"/>
        <v>0</v>
      </c>
      <c r="H317">
        <f t="shared" si="116"/>
        <v>0</v>
      </c>
      <c r="I317" t="str">
        <f t="shared" si="116"/>
        <v>ResSpHtFAFZ1</v>
      </c>
      <c r="J317" s="43">
        <f>SUM(J202*weighting!$D$14,Segmented!J217*weighting!$D$15,Segmented!J232*weighting!$D$16)</f>
        <v>-0.59843555031109164</v>
      </c>
      <c r="K317">
        <f t="shared" ref="K317:P317" si="117">K202</f>
        <v>0</v>
      </c>
      <c r="L317">
        <f t="shared" si="117"/>
        <v>0</v>
      </c>
      <c r="M317">
        <f t="shared" si="117"/>
        <v>0</v>
      </c>
      <c r="N317">
        <f t="shared" si="117"/>
        <v>0</v>
      </c>
      <c r="O317">
        <f t="shared" si="117"/>
        <v>0</v>
      </c>
      <c r="P317">
        <f t="shared" si="117"/>
        <v>0</v>
      </c>
      <c r="Q317" s="43">
        <f>SUM(Q202*weighting!$D$14,Segmented!Q217*weighting!$D$15,Segmented!Q232*weighting!$D$16)</f>
        <v>-0.10736797974600408</v>
      </c>
      <c r="R317" t="str">
        <f t="shared" si="105"/>
        <v>ResSpHtFAFZ1</v>
      </c>
    </row>
    <row r="318" spans="1:18">
      <c r="A318" t="s">
        <v>53</v>
      </c>
      <c r="C318" t="str">
        <f t="shared" si="101"/>
        <v>Tier2_indor2_efaf</v>
      </c>
      <c r="D318" t="str">
        <f t="shared" si="102"/>
        <v>Coolkwh</v>
      </c>
      <c r="E318" s="43">
        <f>SUM(E203*weighting!$D$14,Segmented!E218*weighting!$D$15,Segmented!E233*weighting!$D$16)</f>
        <v>0</v>
      </c>
      <c r="F318">
        <f t="shared" ref="F318:I318" si="118">F203</f>
        <v>13</v>
      </c>
      <c r="G318">
        <f t="shared" si="118"/>
        <v>0</v>
      </c>
      <c r="H318">
        <f t="shared" si="118"/>
        <v>0</v>
      </c>
      <c r="I318" t="str">
        <f t="shared" si="118"/>
        <v>ResCACPNW</v>
      </c>
      <c r="J318" s="43">
        <f>SUM(J203*weighting!$D$14,Segmented!J218*weighting!$D$15,Segmented!J233*weighting!$D$16)</f>
        <v>-0.59843555031109164</v>
      </c>
      <c r="K318">
        <f t="shared" ref="K318:P318" si="119">K203</f>
        <v>0</v>
      </c>
      <c r="L318">
        <f t="shared" si="119"/>
        <v>0</v>
      </c>
      <c r="M318">
        <f t="shared" si="119"/>
        <v>0</v>
      </c>
      <c r="N318">
        <f t="shared" si="119"/>
        <v>0</v>
      </c>
      <c r="O318">
        <f t="shared" si="119"/>
        <v>0</v>
      </c>
      <c r="P318">
        <f t="shared" si="119"/>
        <v>0</v>
      </c>
      <c r="Q318" s="43">
        <f>SUM(Q203*weighting!$D$14,Segmented!Q218*weighting!$D$15,Segmented!Q233*weighting!$D$16)</f>
        <v>0</v>
      </c>
      <c r="R318" t="str">
        <f t="shared" si="105"/>
        <v/>
      </c>
    </row>
    <row r="319" spans="1:18">
      <c r="A319" t="s">
        <v>53</v>
      </c>
      <c r="C319" t="str">
        <f t="shared" si="101"/>
        <v>Tier2_indor2_hp85</v>
      </c>
      <c r="D319" t="str">
        <f t="shared" si="102"/>
        <v>DHWkwh</v>
      </c>
      <c r="E319" s="43">
        <f>SUM(E204*weighting!$D$14,Segmented!E219*weighting!$D$15,Segmented!E234*weighting!$D$16)</f>
        <v>89.067288335771607</v>
      </c>
      <c r="F319">
        <f t="shared" ref="F319:I319" si="120">F204</f>
        <v>13</v>
      </c>
      <c r="G319">
        <f t="shared" si="120"/>
        <v>1183.5005381933265</v>
      </c>
      <c r="H319">
        <f t="shared" si="120"/>
        <v>0</v>
      </c>
      <c r="I319" t="str">
        <f t="shared" si="120"/>
        <v>ResDHW</v>
      </c>
      <c r="J319" s="43">
        <f>SUM(J204*weighting!$D$14,Segmented!J219*weighting!$D$15,Segmented!J234*weighting!$D$16)</f>
        <v>-0.38085603775483751</v>
      </c>
      <c r="K319">
        <f t="shared" ref="K319:P319" si="121">K204</f>
        <v>0</v>
      </c>
      <c r="L319">
        <f t="shared" si="121"/>
        <v>0</v>
      </c>
      <c r="M319">
        <f t="shared" si="121"/>
        <v>0</v>
      </c>
      <c r="N319">
        <f t="shared" si="121"/>
        <v>0</v>
      </c>
      <c r="O319">
        <f t="shared" si="121"/>
        <v>0</v>
      </c>
      <c r="P319">
        <f t="shared" si="121"/>
        <v>0</v>
      </c>
      <c r="Q319" s="43">
        <f>SUM(Q204*weighting!$D$14,Segmented!Q219*weighting!$D$15,Segmented!Q234*weighting!$D$16)</f>
        <v>0</v>
      </c>
      <c r="R319" t="str">
        <f t="shared" si="105"/>
        <v/>
      </c>
    </row>
    <row r="320" spans="1:18">
      <c r="A320" t="s">
        <v>53</v>
      </c>
      <c r="C320" t="str">
        <f t="shared" si="101"/>
        <v>Tier2_indor2_hp85</v>
      </c>
      <c r="D320" t="str">
        <f t="shared" si="102"/>
        <v>Heatkwh</v>
      </c>
      <c r="E320" s="43">
        <f>SUM(E205*weighting!$D$14,Segmented!E220*weighting!$D$15,Segmented!E235*weighting!$D$16)</f>
        <v>-37.798559991420248</v>
      </c>
      <c r="F320">
        <f t="shared" ref="F320:I320" si="122">F205</f>
        <v>13</v>
      </c>
      <c r="G320">
        <f t="shared" si="122"/>
        <v>0</v>
      </c>
      <c r="H320">
        <f t="shared" si="122"/>
        <v>0</v>
      </c>
      <c r="I320" t="str">
        <f t="shared" si="122"/>
        <v>ResSpHtHPZ1</v>
      </c>
      <c r="J320" s="43">
        <f>SUM(J205*weighting!$D$14,Segmented!J220*weighting!$D$15,Segmented!J235*weighting!$D$16)</f>
        <v>-0.38085603775483751</v>
      </c>
      <c r="K320">
        <f t="shared" ref="K320:P320" si="123">K205</f>
        <v>0</v>
      </c>
      <c r="L320">
        <f t="shared" si="123"/>
        <v>0</v>
      </c>
      <c r="M320">
        <f t="shared" si="123"/>
        <v>0</v>
      </c>
      <c r="N320">
        <f t="shared" si="123"/>
        <v>0</v>
      </c>
      <c r="O320">
        <f t="shared" si="123"/>
        <v>0</v>
      </c>
      <c r="P320">
        <f t="shared" si="123"/>
        <v>0</v>
      </c>
      <c r="Q320" s="43">
        <f>SUM(Q205*weighting!$D$14,Segmented!Q220*weighting!$D$15,Segmented!Q235*weighting!$D$16)</f>
        <v>-6.3582610676235357E-2</v>
      </c>
      <c r="R320" t="str">
        <f t="shared" si="105"/>
        <v>ResSpHtHPZ1</v>
      </c>
    </row>
    <row r="321" spans="1:107">
      <c r="A321" t="s">
        <v>53</v>
      </c>
      <c r="C321" t="str">
        <f t="shared" si="101"/>
        <v>Tier2_indor2_hp85</v>
      </c>
      <c r="D321" t="str">
        <f t="shared" si="102"/>
        <v>Coolkwh</v>
      </c>
      <c r="E321" s="43">
        <f>SUM(E206*weighting!$D$14,Segmented!E221*weighting!$D$15,Segmented!E236*weighting!$D$16)</f>
        <v>-4.6926115042254066</v>
      </c>
      <c r="F321">
        <f t="shared" ref="F321:I321" si="124">F206</f>
        <v>13</v>
      </c>
      <c r="G321">
        <f t="shared" si="124"/>
        <v>0</v>
      </c>
      <c r="H321">
        <f t="shared" si="124"/>
        <v>0</v>
      </c>
      <c r="I321" t="str">
        <f t="shared" si="124"/>
        <v>ResCACPNW</v>
      </c>
      <c r="J321" s="43">
        <f>SUM(J206*weighting!$D$14,Segmented!J221*weighting!$D$15,Segmented!J236*weighting!$D$16)</f>
        <v>-0.38085603775483751</v>
      </c>
      <c r="K321">
        <f t="shared" ref="K321:P321" si="125">K206</f>
        <v>0</v>
      </c>
      <c r="L321">
        <f t="shared" si="125"/>
        <v>0</v>
      </c>
      <c r="M321">
        <f t="shared" si="125"/>
        <v>0</v>
      </c>
      <c r="N321">
        <f t="shared" si="125"/>
        <v>0</v>
      </c>
      <c r="O321">
        <f t="shared" si="125"/>
        <v>0</v>
      </c>
      <c r="P321">
        <f t="shared" si="125"/>
        <v>0</v>
      </c>
      <c r="Q321" s="43">
        <f>SUM(Q206*weighting!$D$14,Segmented!Q221*weighting!$D$15,Segmented!Q236*weighting!$D$16)</f>
        <v>0</v>
      </c>
      <c r="R321" t="str">
        <f t="shared" si="105"/>
        <v/>
      </c>
    </row>
    <row r="322" spans="1:107">
      <c r="A322" t="s">
        <v>53</v>
      </c>
      <c r="C322" t="str">
        <f t="shared" si="101"/>
        <v>Tier2_indor2_zonl</v>
      </c>
      <c r="D322" t="str">
        <f t="shared" si="102"/>
        <v>DHWkwh</v>
      </c>
      <c r="E322" s="43">
        <f>SUM(E207*weighting!$D$14,Segmented!E222*weighting!$D$15,Segmented!E237*weighting!$D$16)</f>
        <v>83.315518898270511</v>
      </c>
      <c r="F322">
        <f t="shared" ref="F322:I322" si="126">F207</f>
        <v>13</v>
      </c>
      <c r="G322">
        <f t="shared" si="126"/>
        <v>1183.5005381933265</v>
      </c>
      <c r="H322">
        <f t="shared" si="126"/>
        <v>0</v>
      </c>
      <c r="I322" t="str">
        <f t="shared" si="126"/>
        <v>ResDHW</v>
      </c>
      <c r="J322" s="43">
        <f>SUM(J207*weighting!$D$14,Segmented!J222*weighting!$D$15,Segmented!J237*weighting!$D$16)</f>
        <v>-0.53073712762676406</v>
      </c>
      <c r="K322">
        <f t="shared" ref="K322:P322" si="127">K207</f>
        <v>0</v>
      </c>
      <c r="L322">
        <f t="shared" si="127"/>
        <v>0</v>
      </c>
      <c r="M322">
        <f t="shared" si="127"/>
        <v>0</v>
      </c>
      <c r="N322">
        <f t="shared" si="127"/>
        <v>0</v>
      </c>
      <c r="O322">
        <f t="shared" si="127"/>
        <v>0</v>
      </c>
      <c r="P322">
        <f t="shared" si="127"/>
        <v>0</v>
      </c>
      <c r="Q322" s="43">
        <f>SUM(Q207*weighting!$D$14,Segmented!Q222*weighting!$D$15,Segmented!Q237*weighting!$D$16)</f>
        <v>0</v>
      </c>
      <c r="R322" t="str">
        <f t="shared" si="105"/>
        <v/>
      </c>
    </row>
    <row r="323" spans="1:107">
      <c r="A323" t="s">
        <v>53</v>
      </c>
      <c r="C323" t="str">
        <f>CONCATENATE(LEFT(C208,FIND("_HZ",C208)-1),"_",RIGHT(C208,4))</f>
        <v>Tier2_indor2_zonl</v>
      </c>
      <c r="D323" t="str">
        <f>D208</f>
        <v>Heatkwh</v>
      </c>
      <c r="E323" s="43">
        <f>SUM(E208*weighting!$D$14,Segmented!E223*weighting!$D$15,Segmented!E238*weighting!$D$16)</f>
        <v>-52.599092392966213</v>
      </c>
      <c r="F323">
        <f>F208</f>
        <v>13</v>
      </c>
      <c r="G323">
        <f>G208</f>
        <v>0</v>
      </c>
      <c r="H323">
        <f>H208</f>
        <v>0</v>
      </c>
      <c r="I323" t="str">
        <f>I208</f>
        <v>ResSpHtBBZ1</v>
      </c>
      <c r="J323" s="43">
        <f>SUM(J208*weighting!$D$14,Segmented!J223*weighting!$D$15,Segmented!J238*weighting!$D$16)</f>
        <v>-0.53073712762676406</v>
      </c>
      <c r="K323">
        <f t="shared" ref="K323:P323" si="128">K208</f>
        <v>0</v>
      </c>
      <c r="L323">
        <f t="shared" si="128"/>
        <v>0</v>
      </c>
      <c r="M323">
        <f t="shared" si="128"/>
        <v>0</v>
      </c>
      <c r="N323">
        <f t="shared" si="128"/>
        <v>0</v>
      </c>
      <c r="O323">
        <f t="shared" si="128"/>
        <v>0</v>
      </c>
      <c r="P323">
        <f t="shared" si="128"/>
        <v>0</v>
      </c>
      <c r="Q323" s="43">
        <f>SUM(Q208*weighting!$D$14,Segmented!Q223*weighting!$D$15,Segmented!Q238*weighting!$D$16)</f>
        <v>-9.5289969558249615E-2</v>
      </c>
      <c r="R323" t="str">
        <f>R208</f>
        <v>ResSpHtBBZ1</v>
      </c>
    </row>
    <row r="324" spans="1:107">
      <c r="A324" t="s">
        <v>53</v>
      </c>
      <c r="C324" t="str">
        <f>CONCATENATE(LEFT(C209,FIND("_HZ",C209)-1),"_",RIGHT(C209,4))</f>
        <v>Tier2_indor2_zonl</v>
      </c>
      <c r="D324" t="str">
        <f t="shared" si="102"/>
        <v>Coolkwh</v>
      </c>
      <c r="E324" s="43">
        <f>SUM(E209*weighting!$D$14,Segmented!E224*weighting!$D$15,Segmented!E239*weighting!$D$16)</f>
        <v>0</v>
      </c>
      <c r="F324">
        <f t="shared" ref="F324:I324" si="129">F209</f>
        <v>13</v>
      </c>
      <c r="G324">
        <f t="shared" si="129"/>
        <v>0</v>
      </c>
      <c r="H324">
        <f t="shared" si="129"/>
        <v>0</v>
      </c>
      <c r="I324" t="str">
        <f t="shared" si="129"/>
        <v>ResCACPNW</v>
      </c>
      <c r="J324" s="43">
        <f>SUM(J209*weighting!$D$14,Segmented!J224*weighting!$D$15,Segmented!J239*weighting!$D$16)</f>
        <v>-0.53073712762676406</v>
      </c>
      <c r="K324">
        <f t="shared" ref="K324:P324" si="130">K209</f>
        <v>0</v>
      </c>
      <c r="L324">
        <f t="shared" si="130"/>
        <v>0</v>
      </c>
      <c r="M324">
        <f t="shared" si="130"/>
        <v>0</v>
      </c>
      <c r="N324">
        <f t="shared" si="130"/>
        <v>0</v>
      </c>
      <c r="O324">
        <f t="shared" si="130"/>
        <v>0</v>
      </c>
      <c r="P324">
        <f t="shared" si="130"/>
        <v>0</v>
      </c>
      <c r="Q324" s="43">
        <f>SUM(Q209*weighting!$D$14,Segmented!Q224*weighting!$D$15,Segmented!Q239*weighting!$D$16)</f>
        <v>0</v>
      </c>
      <c r="R324" t="str">
        <f t="shared" si="105"/>
        <v/>
      </c>
    </row>
    <row r="325" spans="1:107">
      <c r="E325" s="43"/>
      <c r="J325" s="43"/>
      <c r="Q325" s="43"/>
    </row>
    <row r="327" spans="1:107">
      <c r="A327" s="42" t="s">
        <v>444</v>
      </c>
      <c r="B327" s="42"/>
      <c r="C327" s="42"/>
      <c r="E327">
        <v>4</v>
      </c>
      <c r="F327">
        <v>5</v>
      </c>
      <c r="G327">
        <v>6</v>
      </c>
      <c r="H327">
        <v>7</v>
      </c>
      <c r="I327">
        <v>8</v>
      </c>
      <c r="J327">
        <v>9</v>
      </c>
      <c r="K327">
        <v>10</v>
      </c>
      <c r="L327">
        <v>11</v>
      </c>
      <c r="M327">
        <v>12</v>
      </c>
      <c r="N327">
        <v>13</v>
      </c>
      <c r="O327">
        <v>14</v>
      </c>
      <c r="P327">
        <v>15</v>
      </c>
      <c r="Q327">
        <v>16</v>
      </c>
      <c r="R327">
        <v>17</v>
      </c>
    </row>
    <row r="328" spans="1:107" s="7" customFormat="1">
      <c r="C328" s="213" t="s">
        <v>3</v>
      </c>
      <c r="D328" s="214"/>
      <c r="E328" s="214"/>
      <c r="F328" s="214"/>
      <c r="G328" s="214"/>
      <c r="H328" s="214"/>
      <c r="I328" s="214"/>
      <c r="J328" s="215"/>
      <c r="K328" s="216" t="s">
        <v>4</v>
      </c>
      <c r="L328" s="217"/>
      <c r="M328" s="217"/>
      <c r="N328" s="217"/>
      <c r="O328" s="217"/>
      <c r="P328" s="218"/>
      <c r="Q328" s="219" t="s">
        <v>5</v>
      </c>
      <c r="R328" s="220"/>
      <c r="S328" s="16"/>
      <c r="T328" s="17"/>
      <c r="U328" s="17"/>
      <c r="V328" s="17"/>
      <c r="W328" s="17"/>
      <c r="X328" s="17"/>
      <c r="Y328" s="17"/>
      <c r="Z328" s="18"/>
      <c r="AA328" s="19"/>
      <c r="AB328" s="17"/>
      <c r="AC328" s="17"/>
      <c r="AD328" s="17"/>
      <c r="AE328" s="17"/>
      <c r="AF328" s="17"/>
      <c r="AG328" s="20"/>
      <c r="AH328" s="20"/>
      <c r="AI328" s="20"/>
      <c r="AJ328" s="20"/>
      <c r="AK328" s="20"/>
      <c r="AL328" s="20"/>
      <c r="AM328" s="20"/>
      <c r="AN328" s="20"/>
      <c r="AO328" s="20"/>
      <c r="AP328" s="20"/>
      <c r="AQ328" s="20"/>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row>
    <row r="329" spans="1:107" ht="38.25">
      <c r="A329" s="7" t="s">
        <v>48</v>
      </c>
      <c r="B329" s="7"/>
      <c r="C329" s="21" t="s">
        <v>6</v>
      </c>
      <c r="D329" s="21" t="s">
        <v>7</v>
      </c>
      <c r="E329" s="21" t="s">
        <v>8</v>
      </c>
      <c r="F329" s="21" t="s">
        <v>9</v>
      </c>
      <c r="G329" s="21" t="s">
        <v>10</v>
      </c>
      <c r="H329" s="21" t="s">
        <v>11</v>
      </c>
      <c r="I329" s="21" t="s">
        <v>12</v>
      </c>
      <c r="J329" s="21" t="s">
        <v>13</v>
      </c>
      <c r="K329" s="21" t="s">
        <v>14</v>
      </c>
      <c r="L329" s="21" t="s">
        <v>15</v>
      </c>
      <c r="M329" s="21" t="s">
        <v>16</v>
      </c>
      <c r="N329" s="21" t="s">
        <v>17</v>
      </c>
      <c r="O329" s="21" t="s">
        <v>18</v>
      </c>
      <c r="P329" s="21" t="s">
        <v>19</v>
      </c>
      <c r="Q329" s="22" t="s">
        <v>20</v>
      </c>
      <c r="R329" s="21" t="s">
        <v>12</v>
      </c>
    </row>
    <row r="330" spans="1:107">
      <c r="A330" t="str">
        <f>A247</f>
        <v>Single Family</v>
      </c>
      <c r="C330" t="s">
        <v>445</v>
      </c>
      <c r="D330" t="str">
        <f>D247</f>
        <v>DHWkwh</v>
      </c>
      <c r="E330" s="41">
        <f>AVERAGE(E247,E250)</f>
        <v>1044.4554410885651</v>
      </c>
      <c r="F330">
        <f>F247</f>
        <v>13</v>
      </c>
      <c r="G330" s="43">
        <f>AVERAGE(G247,G250)</f>
        <v>724.5875237038573</v>
      </c>
      <c r="H330" s="43">
        <f>AVERAGE(H247,H250)</f>
        <v>0</v>
      </c>
      <c r="I330" t="str">
        <f>I247</f>
        <v>ResDHW</v>
      </c>
      <c r="J330" s="43">
        <f>AVERAGE(J247,J250)</f>
        <v>0</v>
      </c>
      <c r="K330" s="43">
        <f>AVERAGE(K247,K250)</f>
        <v>0</v>
      </c>
      <c r="L330">
        <f>L247</f>
        <v>0</v>
      </c>
      <c r="M330" s="43">
        <f>AVERAGE(M247,M250)</f>
        <v>0</v>
      </c>
      <c r="N330">
        <f>N247</f>
        <v>0</v>
      </c>
      <c r="O330" s="43">
        <f>AVERAGE(O247,O250)</f>
        <v>0</v>
      </c>
      <c r="P330">
        <f>P247</f>
        <v>0</v>
      </c>
      <c r="Q330" s="43">
        <f>AVERAGE(Q247,Q250)</f>
        <v>0</v>
      </c>
      <c r="R330" t="str">
        <f>R247</f>
        <v/>
      </c>
    </row>
    <row r="331" spans="1:107">
      <c r="A331" t="str">
        <f t="shared" ref="A331:A332" si="131">A248</f>
        <v>Single Family</v>
      </c>
      <c r="C331" t="str">
        <f>C330</f>
        <v>Tier1_buffered</v>
      </c>
      <c r="D331" t="str">
        <f t="shared" ref="D331:D332" si="132">D248</f>
        <v>Heatkwh</v>
      </c>
      <c r="E331" s="41">
        <f t="shared" ref="E331:E332" si="133">AVERAGE(E248,E251)</f>
        <v>0</v>
      </c>
      <c r="F331">
        <f t="shared" ref="F331:F332" si="134">F248</f>
        <v>13</v>
      </c>
      <c r="G331" s="43">
        <f t="shared" ref="G331:H331" si="135">AVERAGE(G248,G251)</f>
        <v>0</v>
      </c>
      <c r="H331" s="43">
        <f t="shared" si="135"/>
        <v>0</v>
      </c>
      <c r="I331" t="str">
        <f t="shared" ref="I331:I332" si="136">I248</f>
        <v>ResSpHtFAFZ1</v>
      </c>
      <c r="J331" s="43">
        <f t="shared" ref="J331:K331" si="137">AVERAGE(J248,J251)</f>
        <v>0</v>
      </c>
      <c r="K331" s="43">
        <f t="shared" si="137"/>
        <v>0</v>
      </c>
      <c r="L331">
        <f t="shared" ref="L331:L332" si="138">L248</f>
        <v>0</v>
      </c>
      <c r="M331" s="43">
        <f t="shared" ref="M331:M332" si="139">AVERAGE(M248,M251)</f>
        <v>0</v>
      </c>
      <c r="N331">
        <f t="shared" ref="N331:N332" si="140">N248</f>
        <v>0</v>
      </c>
      <c r="O331" s="43">
        <f t="shared" ref="O331:O332" si="141">AVERAGE(O248,O251)</f>
        <v>0</v>
      </c>
      <c r="P331">
        <f t="shared" ref="P331:P332" si="142">P248</f>
        <v>0</v>
      </c>
      <c r="Q331" s="43">
        <f t="shared" ref="Q331:Q332" si="143">AVERAGE(Q248,Q251)</f>
        <v>0</v>
      </c>
      <c r="R331" t="str">
        <f t="shared" ref="R331:R332" si="144">R248</f>
        <v/>
      </c>
    </row>
    <row r="332" spans="1:107">
      <c r="A332" t="str">
        <f t="shared" si="131"/>
        <v>Single Family</v>
      </c>
      <c r="C332" t="str">
        <f>C330</f>
        <v>Tier1_buffered</v>
      </c>
      <c r="D332" t="str">
        <f t="shared" si="132"/>
        <v>Coolkwh</v>
      </c>
      <c r="E332" s="41">
        <f t="shared" si="133"/>
        <v>0</v>
      </c>
      <c r="F332">
        <f t="shared" si="134"/>
        <v>13</v>
      </c>
      <c r="G332" s="43">
        <f t="shared" ref="G332:H332" si="145">AVERAGE(G249,G252)</f>
        <v>0</v>
      </c>
      <c r="H332" s="43">
        <f t="shared" si="145"/>
        <v>0</v>
      </c>
      <c r="I332" t="str">
        <f t="shared" si="136"/>
        <v>ResCACPNW</v>
      </c>
      <c r="J332" s="43">
        <f t="shared" ref="J332:K332" si="146">AVERAGE(J249,J252)</f>
        <v>0</v>
      </c>
      <c r="K332" s="43">
        <f t="shared" si="146"/>
        <v>0</v>
      </c>
      <c r="L332">
        <f t="shared" si="138"/>
        <v>0</v>
      </c>
      <c r="M332" s="43">
        <f t="shared" si="139"/>
        <v>0</v>
      </c>
      <c r="N332">
        <f t="shared" si="140"/>
        <v>0</v>
      </c>
      <c r="O332" s="43">
        <f t="shared" si="141"/>
        <v>0</v>
      </c>
      <c r="P332">
        <f t="shared" si="142"/>
        <v>0</v>
      </c>
      <c r="Q332" s="43">
        <f t="shared" si="143"/>
        <v>0</v>
      </c>
      <c r="R332" t="str">
        <f t="shared" si="144"/>
        <v/>
      </c>
    </row>
    <row r="333" spans="1:107">
      <c r="A333" t="str">
        <f t="shared" ref="A333" si="147">A253</f>
        <v>Single Family</v>
      </c>
      <c r="C333" t="str">
        <f t="shared" ref="C333:C347" si="148">C253</f>
        <v>Tier1_indor2_gfnc</v>
      </c>
      <c r="D333" t="str">
        <f t="shared" ref="D333:R333" si="149">D253</f>
        <v>DHWkwh</v>
      </c>
      <c r="E333" s="41">
        <f t="shared" si="149"/>
        <v>1262.9314874582285</v>
      </c>
      <c r="F333">
        <f t="shared" si="149"/>
        <v>13</v>
      </c>
      <c r="G333">
        <f t="shared" si="149"/>
        <v>724.58752370386082</v>
      </c>
      <c r="H333">
        <f t="shared" si="149"/>
        <v>0</v>
      </c>
      <c r="I333" t="str">
        <f t="shared" si="149"/>
        <v>ResDHW</v>
      </c>
      <c r="J333">
        <f t="shared" si="149"/>
        <v>-4.9255579747381395</v>
      </c>
      <c r="K333">
        <f t="shared" si="149"/>
        <v>0</v>
      </c>
      <c r="L333">
        <f t="shared" si="149"/>
        <v>0</v>
      </c>
      <c r="M333">
        <f t="shared" si="149"/>
        <v>0</v>
      </c>
      <c r="N333">
        <f t="shared" si="149"/>
        <v>0</v>
      </c>
      <c r="O333">
        <f t="shared" si="149"/>
        <v>0</v>
      </c>
      <c r="P333">
        <f t="shared" si="149"/>
        <v>0</v>
      </c>
      <c r="Q333">
        <f t="shared" si="149"/>
        <v>0</v>
      </c>
      <c r="R333" t="str">
        <f t="shared" si="149"/>
        <v/>
      </c>
    </row>
    <row r="334" spans="1:107">
      <c r="A334" t="str">
        <f t="shared" ref="A334" si="150">A254</f>
        <v>Single Family</v>
      </c>
      <c r="C334" t="str">
        <f t="shared" si="148"/>
        <v>Tier1_indor2_gfnc</v>
      </c>
      <c r="D334" t="str">
        <f t="shared" ref="D334:R334" si="151">D254</f>
        <v>Heatkwh</v>
      </c>
      <c r="E334" s="41">
        <f t="shared" si="151"/>
        <v>-12.937686790988048</v>
      </c>
      <c r="F334">
        <f t="shared" si="151"/>
        <v>13</v>
      </c>
      <c r="G334">
        <f t="shared" si="151"/>
        <v>0</v>
      </c>
      <c r="H334">
        <f t="shared" si="151"/>
        <v>0</v>
      </c>
      <c r="I334" t="str">
        <f t="shared" si="151"/>
        <v>ResSpHtFAFZ1</v>
      </c>
      <c r="J334">
        <f t="shared" si="151"/>
        <v>-4.9255579747381395</v>
      </c>
      <c r="K334">
        <f t="shared" si="151"/>
        <v>0</v>
      </c>
      <c r="L334">
        <f t="shared" si="151"/>
        <v>0</v>
      </c>
      <c r="M334">
        <f t="shared" si="151"/>
        <v>0</v>
      </c>
      <c r="N334">
        <f t="shared" si="151"/>
        <v>0</v>
      </c>
      <c r="O334">
        <f t="shared" si="151"/>
        <v>0</v>
      </c>
      <c r="P334">
        <f t="shared" si="151"/>
        <v>0</v>
      </c>
      <c r="Q334">
        <f t="shared" si="151"/>
        <v>-19.089591168950285</v>
      </c>
      <c r="R334" t="str">
        <f t="shared" si="151"/>
        <v>ResSpHtFAFZ1</v>
      </c>
    </row>
    <row r="335" spans="1:107">
      <c r="A335" t="str">
        <f t="shared" ref="A335" si="152">A255</f>
        <v>Single Family</v>
      </c>
      <c r="C335" t="str">
        <f t="shared" si="148"/>
        <v>Tier1_indor2_gfnc</v>
      </c>
      <c r="D335" t="str">
        <f t="shared" ref="D335:R335" si="153">D255</f>
        <v>Coolkwh</v>
      </c>
      <c r="E335" s="41">
        <f t="shared" si="153"/>
        <v>0</v>
      </c>
      <c r="F335">
        <f t="shared" si="153"/>
        <v>13</v>
      </c>
      <c r="G335">
        <f t="shared" si="153"/>
        <v>0</v>
      </c>
      <c r="H335">
        <f t="shared" si="153"/>
        <v>0</v>
      </c>
      <c r="I335" t="str">
        <f t="shared" si="153"/>
        <v>ResCACPNW</v>
      </c>
      <c r="J335">
        <f t="shared" si="153"/>
        <v>-4.9255579747381395</v>
      </c>
      <c r="K335">
        <f t="shared" si="153"/>
        <v>0</v>
      </c>
      <c r="L335">
        <f t="shared" si="153"/>
        <v>0</v>
      </c>
      <c r="M335">
        <f t="shared" si="153"/>
        <v>0</v>
      </c>
      <c r="N335">
        <f t="shared" si="153"/>
        <v>0</v>
      </c>
      <c r="O335">
        <f t="shared" si="153"/>
        <v>0</v>
      </c>
      <c r="P335">
        <f t="shared" si="153"/>
        <v>0</v>
      </c>
      <c r="Q335">
        <f t="shared" si="153"/>
        <v>0</v>
      </c>
      <c r="R335" t="str">
        <f t="shared" si="153"/>
        <v/>
      </c>
    </row>
    <row r="336" spans="1:107">
      <c r="A336" t="str">
        <f t="shared" ref="A336" si="154">A256</f>
        <v>Single Family</v>
      </c>
      <c r="C336" t="str">
        <f t="shared" si="148"/>
        <v>Tier1_indor2_gfac</v>
      </c>
      <c r="D336" t="str">
        <f t="shared" ref="D336:R336" si="155">D256</f>
        <v>DHWkwh</v>
      </c>
      <c r="E336" s="41">
        <f t="shared" si="155"/>
        <v>1249.1941493493205</v>
      </c>
      <c r="F336">
        <f t="shared" si="155"/>
        <v>13</v>
      </c>
      <c r="G336">
        <f t="shared" si="155"/>
        <v>724.58752370386082</v>
      </c>
      <c r="H336">
        <f t="shared" si="155"/>
        <v>0</v>
      </c>
      <c r="I336" t="str">
        <f t="shared" si="155"/>
        <v>ResDHW</v>
      </c>
      <c r="J336">
        <f t="shared" si="155"/>
        <v>-4.9771646852628919</v>
      </c>
      <c r="K336">
        <f t="shared" si="155"/>
        <v>0</v>
      </c>
      <c r="L336">
        <f t="shared" si="155"/>
        <v>0</v>
      </c>
      <c r="M336">
        <f t="shared" si="155"/>
        <v>0</v>
      </c>
      <c r="N336">
        <f t="shared" si="155"/>
        <v>0</v>
      </c>
      <c r="O336">
        <f t="shared" si="155"/>
        <v>0</v>
      </c>
      <c r="P336">
        <f t="shared" si="155"/>
        <v>0</v>
      </c>
      <c r="Q336">
        <f t="shared" si="155"/>
        <v>0</v>
      </c>
      <c r="R336" t="str">
        <f t="shared" si="155"/>
        <v/>
      </c>
    </row>
    <row r="337" spans="1:18">
      <c r="A337" t="str">
        <f t="shared" ref="A337" si="156">A257</f>
        <v>Single Family</v>
      </c>
      <c r="C337" t="str">
        <f t="shared" si="148"/>
        <v>Tier1_indor2_gfac</v>
      </c>
      <c r="D337" t="str">
        <f t="shared" ref="D337:R337" si="157">D257</f>
        <v>Heatkwh</v>
      </c>
      <c r="E337" s="41">
        <f t="shared" si="157"/>
        <v>-14.21533115333802</v>
      </c>
      <c r="F337">
        <f t="shared" si="157"/>
        <v>13</v>
      </c>
      <c r="G337">
        <f t="shared" si="157"/>
        <v>0</v>
      </c>
      <c r="H337">
        <f t="shared" si="157"/>
        <v>0</v>
      </c>
      <c r="I337" t="str">
        <f t="shared" si="157"/>
        <v>ResSpHtFAFZ1</v>
      </c>
      <c r="J337">
        <f t="shared" si="157"/>
        <v>-4.9771646852628919</v>
      </c>
      <c r="K337">
        <f t="shared" si="157"/>
        <v>0</v>
      </c>
      <c r="L337">
        <f t="shared" si="157"/>
        <v>0</v>
      </c>
      <c r="M337">
        <f t="shared" si="157"/>
        <v>0</v>
      </c>
      <c r="N337">
        <f t="shared" si="157"/>
        <v>0</v>
      </c>
      <c r="O337">
        <f t="shared" si="157"/>
        <v>0</v>
      </c>
      <c r="P337">
        <f t="shared" si="157"/>
        <v>0</v>
      </c>
      <c r="Q337">
        <f t="shared" si="157"/>
        <v>-19.245784201841445</v>
      </c>
      <c r="R337" t="str">
        <f t="shared" si="157"/>
        <v>ResSpHtFAFZ1</v>
      </c>
    </row>
    <row r="338" spans="1:18">
      <c r="A338" t="str">
        <f t="shared" ref="A338" si="158">A258</f>
        <v>Single Family</v>
      </c>
      <c r="C338" t="str">
        <f t="shared" si="148"/>
        <v>Tier1_indor2_gfac</v>
      </c>
      <c r="D338" t="str">
        <f t="shared" ref="D338:R338" si="159">D258</f>
        <v>Coolkwh</v>
      </c>
      <c r="E338" s="41">
        <f t="shared" si="159"/>
        <v>30.496074316971505</v>
      </c>
      <c r="F338">
        <f t="shared" si="159"/>
        <v>13</v>
      </c>
      <c r="G338">
        <f t="shared" si="159"/>
        <v>0</v>
      </c>
      <c r="H338">
        <f t="shared" si="159"/>
        <v>0</v>
      </c>
      <c r="I338" t="str">
        <f t="shared" si="159"/>
        <v>ResCACPNW</v>
      </c>
      <c r="J338">
        <f t="shared" si="159"/>
        <v>-4.9771646852628919</v>
      </c>
      <c r="K338">
        <f t="shared" si="159"/>
        <v>0</v>
      </c>
      <c r="L338">
        <f t="shared" si="159"/>
        <v>0</v>
      </c>
      <c r="M338">
        <f t="shared" si="159"/>
        <v>0</v>
      </c>
      <c r="N338">
        <f t="shared" si="159"/>
        <v>0</v>
      </c>
      <c r="O338">
        <f t="shared" si="159"/>
        <v>0</v>
      </c>
      <c r="P338">
        <f t="shared" si="159"/>
        <v>0</v>
      </c>
      <c r="Q338">
        <f t="shared" si="159"/>
        <v>0</v>
      </c>
      <c r="R338" t="str">
        <f t="shared" si="159"/>
        <v/>
      </c>
    </row>
    <row r="339" spans="1:18">
      <c r="A339" t="str">
        <f t="shared" ref="A339" si="160">A259</f>
        <v>Single Family</v>
      </c>
      <c r="C339" t="str">
        <f t="shared" si="148"/>
        <v>Tier1_indor2_efaf</v>
      </c>
      <c r="D339" t="str">
        <f t="shared" ref="D339:R339" si="161">D259</f>
        <v>DHWkwh</v>
      </c>
      <c r="E339" s="41">
        <f t="shared" si="161"/>
        <v>1262.9314874582285</v>
      </c>
      <c r="F339">
        <f t="shared" si="161"/>
        <v>13</v>
      </c>
      <c r="G339">
        <f t="shared" si="161"/>
        <v>724.58752370386082</v>
      </c>
      <c r="H339">
        <f t="shared" si="161"/>
        <v>0</v>
      </c>
      <c r="I339" t="str">
        <f t="shared" si="161"/>
        <v>ResDHW</v>
      </c>
      <c r="J339">
        <f t="shared" si="161"/>
        <v>-3.4721159669139707</v>
      </c>
      <c r="K339">
        <f t="shared" si="161"/>
        <v>0</v>
      </c>
      <c r="L339">
        <f t="shared" si="161"/>
        <v>0</v>
      </c>
      <c r="M339">
        <f t="shared" si="161"/>
        <v>0</v>
      </c>
      <c r="N339">
        <f t="shared" si="161"/>
        <v>0</v>
      </c>
      <c r="O339">
        <f t="shared" si="161"/>
        <v>0</v>
      </c>
      <c r="P339">
        <f t="shared" si="161"/>
        <v>0</v>
      </c>
      <c r="Q339">
        <f t="shared" si="161"/>
        <v>0</v>
      </c>
      <c r="R339" t="str">
        <f t="shared" si="161"/>
        <v/>
      </c>
    </row>
    <row r="340" spans="1:18">
      <c r="A340" t="str">
        <f t="shared" ref="A340" si="162">A260</f>
        <v>Single Family</v>
      </c>
      <c r="C340" t="str">
        <f t="shared" si="148"/>
        <v>Tier1_indor2_efaf</v>
      </c>
      <c r="D340" t="str">
        <f t="shared" ref="D340:R340" si="163">D260</f>
        <v>Heatkwh</v>
      </c>
      <c r="E340" s="41">
        <f t="shared" si="163"/>
        <v>-343.38499278934376</v>
      </c>
      <c r="F340">
        <f t="shared" si="163"/>
        <v>13</v>
      </c>
      <c r="G340">
        <f t="shared" si="163"/>
        <v>0</v>
      </c>
      <c r="H340">
        <f t="shared" si="163"/>
        <v>0</v>
      </c>
      <c r="I340" t="str">
        <f t="shared" si="163"/>
        <v>ResSpHtFAFZ1</v>
      </c>
      <c r="J340">
        <f t="shared" si="163"/>
        <v>-3.4721159669139707</v>
      </c>
      <c r="K340">
        <f t="shared" si="163"/>
        <v>0</v>
      </c>
      <c r="L340">
        <f t="shared" si="163"/>
        <v>0</v>
      </c>
      <c r="M340">
        <f t="shared" si="163"/>
        <v>0</v>
      </c>
      <c r="N340">
        <f t="shared" si="163"/>
        <v>0</v>
      </c>
      <c r="O340">
        <f t="shared" si="163"/>
        <v>0</v>
      </c>
      <c r="P340">
        <f t="shared" si="163"/>
        <v>0</v>
      </c>
      <c r="Q340">
        <f t="shared" si="163"/>
        <v>-0.68804709837682176</v>
      </c>
      <c r="R340" t="str">
        <f t="shared" si="163"/>
        <v>ResSpHtFAFZ1</v>
      </c>
    </row>
    <row r="341" spans="1:18">
      <c r="A341" t="str">
        <f t="shared" ref="A341" si="164">A261</f>
        <v>Single Family</v>
      </c>
      <c r="C341" t="str">
        <f t="shared" si="148"/>
        <v>Tier1_indor2_efaf</v>
      </c>
      <c r="D341" t="str">
        <f t="shared" ref="D341:R341" si="165">D261</f>
        <v>Coolkwh</v>
      </c>
      <c r="E341" s="41">
        <f t="shared" si="165"/>
        <v>0</v>
      </c>
      <c r="F341">
        <f t="shared" si="165"/>
        <v>13</v>
      </c>
      <c r="G341">
        <f t="shared" si="165"/>
        <v>0</v>
      </c>
      <c r="H341">
        <f t="shared" si="165"/>
        <v>0</v>
      </c>
      <c r="I341" t="str">
        <f t="shared" si="165"/>
        <v>ResCACPNW</v>
      </c>
      <c r="J341">
        <f t="shared" si="165"/>
        <v>-3.4721159669139707</v>
      </c>
      <c r="K341">
        <f t="shared" si="165"/>
        <v>0</v>
      </c>
      <c r="L341">
        <f t="shared" si="165"/>
        <v>0</v>
      </c>
      <c r="M341">
        <f t="shared" si="165"/>
        <v>0</v>
      </c>
      <c r="N341">
        <f t="shared" si="165"/>
        <v>0</v>
      </c>
      <c r="O341">
        <f t="shared" si="165"/>
        <v>0</v>
      </c>
      <c r="P341">
        <f t="shared" si="165"/>
        <v>0</v>
      </c>
      <c r="Q341">
        <f t="shared" si="165"/>
        <v>0</v>
      </c>
      <c r="R341" t="str">
        <f t="shared" si="165"/>
        <v/>
      </c>
    </row>
    <row r="342" spans="1:18">
      <c r="A342" t="str">
        <f t="shared" ref="A342" si="166">A262</f>
        <v>Single Family</v>
      </c>
      <c r="C342" t="str">
        <f t="shared" si="148"/>
        <v>Tier1_indor2_hp85</v>
      </c>
      <c r="D342" t="str">
        <f t="shared" ref="D342:R342" si="167">D262</f>
        <v>DHWkwh</v>
      </c>
      <c r="E342" s="41">
        <f t="shared" si="167"/>
        <v>1249.1975039460601</v>
      </c>
      <c r="F342">
        <f t="shared" si="167"/>
        <v>13</v>
      </c>
      <c r="G342">
        <f t="shared" si="167"/>
        <v>724.58752370386082</v>
      </c>
      <c r="H342">
        <f t="shared" si="167"/>
        <v>0</v>
      </c>
      <c r="I342" t="str">
        <f t="shared" si="167"/>
        <v>ResDHW</v>
      </c>
      <c r="J342">
        <f t="shared" si="167"/>
        <v>-1.8436624948097922</v>
      </c>
      <c r="K342">
        <f t="shared" si="167"/>
        <v>0</v>
      </c>
      <c r="L342">
        <f t="shared" si="167"/>
        <v>0</v>
      </c>
      <c r="M342">
        <f t="shared" si="167"/>
        <v>0</v>
      </c>
      <c r="N342">
        <f t="shared" si="167"/>
        <v>0</v>
      </c>
      <c r="O342">
        <f t="shared" si="167"/>
        <v>0</v>
      </c>
      <c r="P342">
        <f t="shared" si="167"/>
        <v>0</v>
      </c>
      <c r="Q342">
        <f t="shared" si="167"/>
        <v>0</v>
      </c>
      <c r="R342" t="str">
        <f t="shared" si="167"/>
        <v/>
      </c>
    </row>
    <row r="343" spans="1:18">
      <c r="A343" t="str">
        <f t="shared" ref="A343" si="168">A263</f>
        <v>Single Family</v>
      </c>
      <c r="C343" t="str">
        <f t="shared" si="148"/>
        <v>Tier1_indor2_hp85</v>
      </c>
      <c r="D343" t="str">
        <f t="shared" ref="D343:R343" si="169">D263</f>
        <v>Heatkwh</v>
      </c>
      <c r="E343" s="41">
        <f t="shared" si="169"/>
        <v>-182.52849826785342</v>
      </c>
      <c r="F343">
        <f t="shared" si="169"/>
        <v>13</v>
      </c>
      <c r="G343">
        <f t="shared" si="169"/>
        <v>0</v>
      </c>
      <c r="H343">
        <f t="shared" si="169"/>
        <v>0</v>
      </c>
      <c r="I343" t="str">
        <f t="shared" si="169"/>
        <v>ResSpHtHPZ1</v>
      </c>
      <c r="J343">
        <f t="shared" si="169"/>
        <v>-1.8436624948097922</v>
      </c>
      <c r="K343">
        <f t="shared" si="169"/>
        <v>0</v>
      </c>
      <c r="L343">
        <f t="shared" si="169"/>
        <v>0</v>
      </c>
      <c r="M343">
        <f t="shared" si="169"/>
        <v>0</v>
      </c>
      <c r="N343">
        <f t="shared" si="169"/>
        <v>0</v>
      </c>
      <c r="O343">
        <f t="shared" si="169"/>
        <v>0</v>
      </c>
      <c r="P343">
        <f t="shared" si="169"/>
        <v>0</v>
      </c>
      <c r="Q343">
        <f t="shared" si="169"/>
        <v>-0.34795232134875137</v>
      </c>
      <c r="R343" t="str">
        <f t="shared" si="169"/>
        <v>ResSpHtHPZ1</v>
      </c>
    </row>
    <row r="344" spans="1:18">
      <c r="A344" t="str">
        <f t="shared" ref="A344" si="170">A264</f>
        <v>Single Family</v>
      </c>
      <c r="C344" t="str">
        <f t="shared" si="148"/>
        <v>Tier1_indor2_hp85</v>
      </c>
      <c r="D344" t="str">
        <f t="shared" ref="D344:R344" si="171">D264</f>
        <v>Coolkwh</v>
      </c>
      <c r="E344" s="41">
        <f t="shared" si="171"/>
        <v>30.673640966300958</v>
      </c>
      <c r="F344">
        <f t="shared" si="171"/>
        <v>13</v>
      </c>
      <c r="G344">
        <f t="shared" si="171"/>
        <v>0</v>
      </c>
      <c r="H344">
        <f t="shared" si="171"/>
        <v>0</v>
      </c>
      <c r="I344" t="str">
        <f t="shared" si="171"/>
        <v>ResCACPNW</v>
      </c>
      <c r="J344">
        <f t="shared" si="171"/>
        <v>-1.8436624948097922</v>
      </c>
      <c r="K344">
        <f t="shared" si="171"/>
        <v>0</v>
      </c>
      <c r="L344">
        <f t="shared" si="171"/>
        <v>0</v>
      </c>
      <c r="M344">
        <f t="shared" si="171"/>
        <v>0</v>
      </c>
      <c r="N344">
        <f t="shared" si="171"/>
        <v>0</v>
      </c>
      <c r="O344">
        <f t="shared" si="171"/>
        <v>0</v>
      </c>
      <c r="P344">
        <f t="shared" si="171"/>
        <v>0</v>
      </c>
      <c r="Q344">
        <f t="shared" si="171"/>
        <v>0</v>
      </c>
      <c r="R344" t="str">
        <f t="shared" si="171"/>
        <v/>
      </c>
    </row>
    <row r="345" spans="1:18">
      <c r="A345" t="str">
        <f t="shared" ref="A345" si="172">A265</f>
        <v>Single Family</v>
      </c>
      <c r="C345" t="str">
        <f t="shared" si="148"/>
        <v>Tier1_indor2_zonl</v>
      </c>
      <c r="D345" t="str">
        <f t="shared" ref="D345:R345" si="173">D265</f>
        <v>DHWkwh</v>
      </c>
      <c r="E345" s="41">
        <f t="shared" si="173"/>
        <v>1262.8980680876891</v>
      </c>
      <c r="F345">
        <f t="shared" si="173"/>
        <v>13</v>
      </c>
      <c r="G345">
        <f t="shared" si="173"/>
        <v>724.58752370386082</v>
      </c>
      <c r="H345">
        <f t="shared" si="173"/>
        <v>0</v>
      </c>
      <c r="I345" t="str">
        <f t="shared" si="173"/>
        <v>ResDHW</v>
      </c>
      <c r="J345">
        <f t="shared" si="173"/>
        <v>-3.095878355959842</v>
      </c>
      <c r="K345">
        <f t="shared" si="173"/>
        <v>0</v>
      </c>
      <c r="L345">
        <f t="shared" si="173"/>
        <v>0</v>
      </c>
      <c r="M345">
        <f t="shared" si="173"/>
        <v>0</v>
      </c>
      <c r="N345">
        <f t="shared" si="173"/>
        <v>0</v>
      </c>
      <c r="O345">
        <f t="shared" si="173"/>
        <v>0</v>
      </c>
      <c r="P345">
        <f t="shared" si="173"/>
        <v>0</v>
      </c>
      <c r="Q345">
        <f t="shared" si="173"/>
        <v>0</v>
      </c>
      <c r="R345" t="str">
        <f t="shared" si="173"/>
        <v/>
      </c>
    </row>
    <row r="346" spans="1:18">
      <c r="A346" t="str">
        <f t="shared" ref="A346" si="174">A266</f>
        <v>Single Family</v>
      </c>
      <c r="C346" t="str">
        <f t="shared" si="148"/>
        <v>Tier1_indor2_zonl</v>
      </c>
      <c r="D346" t="str">
        <f t="shared" ref="D346:R346" si="175">D266</f>
        <v>Heatkwh</v>
      </c>
      <c r="E346" s="41">
        <f t="shared" si="175"/>
        <v>-306.17072788868097</v>
      </c>
      <c r="F346">
        <f t="shared" si="175"/>
        <v>13</v>
      </c>
      <c r="G346">
        <f t="shared" si="175"/>
        <v>0</v>
      </c>
      <c r="H346">
        <f t="shared" si="175"/>
        <v>0</v>
      </c>
      <c r="I346" t="str">
        <f t="shared" si="175"/>
        <v>ResSpHtBBZ1</v>
      </c>
      <c r="J346">
        <f t="shared" si="175"/>
        <v>-3.095878355959842</v>
      </c>
      <c r="K346">
        <f t="shared" si="175"/>
        <v>0</v>
      </c>
      <c r="L346">
        <f t="shared" si="175"/>
        <v>0</v>
      </c>
      <c r="M346">
        <f t="shared" si="175"/>
        <v>0</v>
      </c>
      <c r="N346">
        <f t="shared" si="175"/>
        <v>0</v>
      </c>
      <c r="O346">
        <f t="shared" si="175"/>
        <v>0</v>
      </c>
      <c r="P346">
        <f t="shared" si="175"/>
        <v>0</v>
      </c>
      <c r="Q346">
        <f t="shared" si="175"/>
        <v>-0.61395224043789309</v>
      </c>
      <c r="R346" t="str">
        <f t="shared" si="175"/>
        <v>ResSpHtBBZ1</v>
      </c>
    </row>
    <row r="347" spans="1:18">
      <c r="A347" t="str">
        <f t="shared" ref="A347" si="176">A267</f>
        <v>Single Family</v>
      </c>
      <c r="C347" t="str">
        <f t="shared" si="148"/>
        <v>Tier1_indor2_zonl</v>
      </c>
      <c r="D347" t="str">
        <f t="shared" ref="D347:R347" si="177">D267</f>
        <v>Coolkwh</v>
      </c>
      <c r="E347" s="41">
        <f t="shared" si="177"/>
        <v>0</v>
      </c>
      <c r="F347">
        <f t="shared" si="177"/>
        <v>13</v>
      </c>
      <c r="G347">
        <f t="shared" si="177"/>
        <v>0</v>
      </c>
      <c r="H347">
        <f t="shared" si="177"/>
        <v>0</v>
      </c>
      <c r="I347" t="str">
        <f t="shared" si="177"/>
        <v>ResCACPNW</v>
      </c>
      <c r="J347">
        <f t="shared" si="177"/>
        <v>-3.095878355959842</v>
      </c>
      <c r="K347">
        <f t="shared" si="177"/>
        <v>0</v>
      </c>
      <c r="L347">
        <f t="shared" si="177"/>
        <v>0</v>
      </c>
      <c r="M347">
        <f t="shared" si="177"/>
        <v>0</v>
      </c>
      <c r="N347">
        <f t="shared" si="177"/>
        <v>0</v>
      </c>
      <c r="O347">
        <f t="shared" si="177"/>
        <v>0</v>
      </c>
      <c r="P347">
        <f t="shared" si="177"/>
        <v>0</v>
      </c>
      <c r="Q347">
        <f t="shared" si="177"/>
        <v>0</v>
      </c>
      <c r="R347" t="str">
        <f t="shared" si="177"/>
        <v/>
      </c>
    </row>
    <row r="348" spans="1:18">
      <c r="A348" t="str">
        <f>A268</f>
        <v>Single Family</v>
      </c>
      <c r="C348" t="s">
        <v>470</v>
      </c>
      <c r="D348" t="str">
        <f>D268</f>
        <v>DHWkwh</v>
      </c>
      <c r="E348" s="41">
        <f>AVERAGE(E268,E271)</f>
        <v>189.91094169277483</v>
      </c>
      <c r="F348">
        <f>F268</f>
        <v>13</v>
      </c>
      <c r="G348" s="43">
        <f>AVERAGE(G268,G271)</f>
        <v>1183.5005381933324</v>
      </c>
      <c r="H348" s="43">
        <f>AVERAGE(H268,H271)</f>
        <v>0</v>
      </c>
      <c r="I348" t="str">
        <f>I265</f>
        <v>ResDHW</v>
      </c>
      <c r="J348" s="43">
        <f>AVERAGE(J268,J271)</f>
        <v>0</v>
      </c>
      <c r="K348" s="43">
        <f>AVERAGE(K268,K271)</f>
        <v>0</v>
      </c>
      <c r="L348">
        <f>L265</f>
        <v>0</v>
      </c>
      <c r="M348" s="43">
        <f>AVERAGE(M268,M271)</f>
        <v>0</v>
      </c>
      <c r="N348">
        <f>N265</f>
        <v>0</v>
      </c>
      <c r="O348" s="43">
        <f>AVERAGE(O268,O271)</f>
        <v>0</v>
      </c>
      <c r="P348">
        <f>P265</f>
        <v>0</v>
      </c>
      <c r="Q348" s="43">
        <f>AVERAGE(Q268,Q271)</f>
        <v>0</v>
      </c>
      <c r="R348" t="str">
        <f>R265</f>
        <v/>
      </c>
    </row>
    <row r="349" spans="1:18">
      <c r="A349" t="str">
        <f t="shared" ref="A349:A350" si="178">A269</f>
        <v>Single Family</v>
      </c>
      <c r="C349" t="s">
        <v>470</v>
      </c>
      <c r="D349" t="str">
        <f t="shared" ref="D349:D350" si="179">D269</f>
        <v>Heatkwh</v>
      </c>
      <c r="E349" s="41">
        <f t="shared" ref="E349:E350" si="180">AVERAGE(E269,E272)</f>
        <v>0</v>
      </c>
      <c r="F349">
        <f t="shared" ref="F349:F350" si="181">F269</f>
        <v>13</v>
      </c>
      <c r="G349" s="43">
        <f t="shared" ref="G349:H349" si="182">AVERAGE(G269,G272)</f>
        <v>0</v>
      </c>
      <c r="H349" s="43">
        <f t="shared" si="182"/>
        <v>0</v>
      </c>
      <c r="I349" t="str">
        <f t="shared" ref="I349:I350" si="183">I266</f>
        <v>ResSpHtBBZ1</v>
      </c>
      <c r="J349" s="43">
        <f t="shared" ref="J349:K349" si="184">AVERAGE(J269,J272)</f>
        <v>0</v>
      </c>
      <c r="K349" s="43">
        <f t="shared" si="184"/>
        <v>0</v>
      </c>
      <c r="L349">
        <f t="shared" ref="L349:L350" si="185">L266</f>
        <v>0</v>
      </c>
      <c r="M349" s="43">
        <f t="shared" ref="M349:M350" si="186">AVERAGE(M269,M272)</f>
        <v>0</v>
      </c>
      <c r="N349">
        <f t="shared" ref="N349:N350" si="187">N266</f>
        <v>0</v>
      </c>
      <c r="O349" s="43">
        <f t="shared" ref="O349:O350" si="188">AVERAGE(O269,O272)</f>
        <v>0</v>
      </c>
      <c r="P349">
        <f t="shared" ref="P349:P350" si="189">P266</f>
        <v>0</v>
      </c>
      <c r="Q349" s="43">
        <f t="shared" ref="Q349:Q350" si="190">AVERAGE(Q269,Q272)</f>
        <v>0</v>
      </c>
      <c r="R349" t="str">
        <f t="shared" ref="R349:R350" si="191">R266</f>
        <v>ResSpHtBBZ1</v>
      </c>
    </row>
    <row r="350" spans="1:18">
      <c r="A350" t="str">
        <f t="shared" si="178"/>
        <v>Single Family</v>
      </c>
      <c r="C350" t="s">
        <v>470</v>
      </c>
      <c r="D350" t="str">
        <f t="shared" si="179"/>
        <v>Coolkwh</v>
      </c>
      <c r="E350" s="41">
        <f t="shared" si="180"/>
        <v>0</v>
      </c>
      <c r="F350">
        <f t="shared" si="181"/>
        <v>13</v>
      </c>
      <c r="G350" s="43">
        <f t="shared" ref="G350:H350" si="192">AVERAGE(G270,G273)</f>
        <v>0</v>
      </c>
      <c r="H350" s="43">
        <f t="shared" si="192"/>
        <v>0</v>
      </c>
      <c r="I350" t="str">
        <f t="shared" si="183"/>
        <v>ResCACPNW</v>
      </c>
      <c r="J350" s="43">
        <f t="shared" ref="J350:K350" si="193">AVERAGE(J270,J273)</f>
        <v>0</v>
      </c>
      <c r="K350" s="43">
        <f t="shared" si="193"/>
        <v>0</v>
      </c>
      <c r="L350">
        <f t="shared" si="185"/>
        <v>0</v>
      </c>
      <c r="M350" s="43">
        <f t="shared" si="186"/>
        <v>0</v>
      </c>
      <c r="N350">
        <f t="shared" si="187"/>
        <v>0</v>
      </c>
      <c r="O350" s="43">
        <f t="shared" si="188"/>
        <v>0</v>
      </c>
      <c r="P350">
        <f t="shared" si="189"/>
        <v>0</v>
      </c>
      <c r="Q350" s="43">
        <f t="shared" si="190"/>
        <v>0</v>
      </c>
      <c r="R350" t="str">
        <f t="shared" si="191"/>
        <v/>
      </c>
    </row>
    <row r="351" spans="1:18">
      <c r="A351" t="str">
        <f t="shared" ref="A351" si="194">A274</f>
        <v>Single Family</v>
      </c>
      <c r="C351" t="str">
        <f t="shared" ref="C351:C365" si="195">C274</f>
        <v>Tier2_indor2_gfnc</v>
      </c>
      <c r="D351" t="str">
        <f t="shared" ref="D351:R351" si="196">D274</f>
        <v>DHWkwh</v>
      </c>
      <c r="E351" s="41">
        <f>E274</f>
        <v>82.787030726763376</v>
      </c>
      <c r="F351">
        <f t="shared" si="196"/>
        <v>13</v>
      </c>
      <c r="G351">
        <f t="shared" si="196"/>
        <v>1183.5005381933324</v>
      </c>
      <c r="H351">
        <f t="shared" si="196"/>
        <v>0</v>
      </c>
      <c r="I351" t="str">
        <f t="shared" si="196"/>
        <v>ResDHW</v>
      </c>
      <c r="J351">
        <f t="shared" si="196"/>
        <v>-0.85834873320788085</v>
      </c>
      <c r="K351">
        <f t="shared" si="196"/>
        <v>0</v>
      </c>
      <c r="L351">
        <f t="shared" si="196"/>
        <v>0</v>
      </c>
      <c r="M351">
        <f t="shared" si="196"/>
        <v>0</v>
      </c>
      <c r="N351">
        <f t="shared" si="196"/>
        <v>0</v>
      </c>
      <c r="O351">
        <f t="shared" si="196"/>
        <v>0</v>
      </c>
      <c r="P351">
        <f t="shared" si="196"/>
        <v>0</v>
      </c>
      <c r="Q351">
        <f t="shared" si="196"/>
        <v>0</v>
      </c>
      <c r="R351" t="str">
        <f t="shared" si="196"/>
        <v/>
      </c>
    </row>
    <row r="352" spans="1:18">
      <c r="A352" t="str">
        <f t="shared" ref="A352" si="197">A275</f>
        <v>Single Family</v>
      </c>
      <c r="C352" t="str">
        <f t="shared" si="195"/>
        <v>Tier2_indor2_gfnc</v>
      </c>
      <c r="D352" t="str">
        <f t="shared" ref="D352:R352" si="198">D275</f>
        <v>Heatkwh</v>
      </c>
      <c r="E352" s="41">
        <f t="shared" si="198"/>
        <v>-2.2721962950514598</v>
      </c>
      <c r="F352">
        <f t="shared" si="198"/>
        <v>13</v>
      </c>
      <c r="G352">
        <f t="shared" si="198"/>
        <v>0</v>
      </c>
      <c r="H352">
        <f t="shared" si="198"/>
        <v>0</v>
      </c>
      <c r="I352" t="str">
        <f t="shared" si="198"/>
        <v>ResSpHtFAFZ1</v>
      </c>
      <c r="J352">
        <f t="shared" si="198"/>
        <v>-0.85834873320788085</v>
      </c>
      <c r="K352">
        <f t="shared" si="198"/>
        <v>0</v>
      </c>
      <c r="L352">
        <f t="shared" si="198"/>
        <v>0</v>
      </c>
      <c r="M352">
        <f t="shared" si="198"/>
        <v>0</v>
      </c>
      <c r="N352">
        <f t="shared" si="198"/>
        <v>0</v>
      </c>
      <c r="O352">
        <f t="shared" si="198"/>
        <v>0</v>
      </c>
      <c r="P352">
        <f t="shared" si="198"/>
        <v>0</v>
      </c>
      <c r="Q352">
        <f t="shared" si="198"/>
        <v>-3.3258467421661342</v>
      </c>
      <c r="R352" t="str">
        <f t="shared" si="198"/>
        <v>ResSpHtFAFZ1</v>
      </c>
    </row>
    <row r="353" spans="1:18">
      <c r="A353" t="str">
        <f t="shared" ref="A353" si="199">A276</f>
        <v>Single Family</v>
      </c>
      <c r="C353" t="str">
        <f t="shared" si="195"/>
        <v>Tier2_indor2_gfnc</v>
      </c>
      <c r="D353" t="str">
        <f t="shared" ref="D353:R353" si="200">D276</f>
        <v>Coolkwh</v>
      </c>
      <c r="E353" s="41">
        <f t="shared" si="200"/>
        <v>0</v>
      </c>
      <c r="F353">
        <f t="shared" si="200"/>
        <v>13</v>
      </c>
      <c r="G353">
        <f t="shared" si="200"/>
        <v>0</v>
      </c>
      <c r="H353">
        <f t="shared" si="200"/>
        <v>0</v>
      </c>
      <c r="I353" t="str">
        <f t="shared" si="200"/>
        <v>ResCACPNW</v>
      </c>
      <c r="J353">
        <f t="shared" si="200"/>
        <v>-0.85834873320788085</v>
      </c>
      <c r="K353">
        <f t="shared" si="200"/>
        <v>0</v>
      </c>
      <c r="L353">
        <f t="shared" si="200"/>
        <v>0</v>
      </c>
      <c r="M353">
        <f t="shared" si="200"/>
        <v>0</v>
      </c>
      <c r="N353">
        <f t="shared" si="200"/>
        <v>0</v>
      </c>
      <c r="O353">
        <f t="shared" si="200"/>
        <v>0</v>
      </c>
      <c r="P353">
        <f t="shared" si="200"/>
        <v>0</v>
      </c>
      <c r="Q353">
        <f t="shared" si="200"/>
        <v>0</v>
      </c>
      <c r="R353" t="str">
        <f t="shared" si="200"/>
        <v/>
      </c>
    </row>
    <row r="354" spans="1:18">
      <c r="A354" t="str">
        <f t="shared" ref="A354" si="201">A277</f>
        <v>Single Family</v>
      </c>
      <c r="C354" t="str">
        <f t="shared" si="195"/>
        <v>Tier2_indor2_gfac</v>
      </c>
      <c r="D354" t="str">
        <f t="shared" ref="D354:R354" si="202">D277</f>
        <v>DHWkwh</v>
      </c>
      <c r="E354" s="41">
        <f t="shared" si="202"/>
        <v>88.055013154781591</v>
      </c>
      <c r="F354">
        <f t="shared" si="202"/>
        <v>13</v>
      </c>
      <c r="G354">
        <f t="shared" si="202"/>
        <v>1183.5005381933324</v>
      </c>
      <c r="H354">
        <f t="shared" si="202"/>
        <v>0</v>
      </c>
      <c r="I354" t="str">
        <f t="shared" si="202"/>
        <v>ResDHW</v>
      </c>
      <c r="J354">
        <f t="shared" si="202"/>
        <v>-0.87290339744287193</v>
      </c>
      <c r="K354">
        <f t="shared" si="202"/>
        <v>0</v>
      </c>
      <c r="L354">
        <f t="shared" si="202"/>
        <v>0</v>
      </c>
      <c r="M354">
        <f t="shared" si="202"/>
        <v>0</v>
      </c>
      <c r="N354">
        <f t="shared" si="202"/>
        <v>0</v>
      </c>
      <c r="O354">
        <f t="shared" si="202"/>
        <v>0</v>
      </c>
      <c r="P354">
        <f t="shared" si="202"/>
        <v>0</v>
      </c>
      <c r="Q354">
        <f t="shared" si="202"/>
        <v>0</v>
      </c>
      <c r="R354" t="str">
        <f t="shared" si="202"/>
        <v/>
      </c>
    </row>
    <row r="355" spans="1:18">
      <c r="A355" t="str">
        <f t="shared" ref="A355" si="203">A278</f>
        <v>Single Family</v>
      </c>
      <c r="C355" t="str">
        <f t="shared" si="195"/>
        <v>Tier2_indor2_gfac</v>
      </c>
      <c r="D355" t="str">
        <f t="shared" ref="D355:R355" si="204">D278</f>
        <v>Heatkwh</v>
      </c>
      <c r="E355" s="41">
        <f t="shared" si="204"/>
        <v>-2.494122084514057</v>
      </c>
      <c r="F355">
        <f t="shared" si="204"/>
        <v>13</v>
      </c>
      <c r="G355">
        <f t="shared" si="204"/>
        <v>0</v>
      </c>
      <c r="H355">
        <f t="shared" si="204"/>
        <v>0</v>
      </c>
      <c r="I355" t="str">
        <f t="shared" si="204"/>
        <v>ResSpHtFAFZ1</v>
      </c>
      <c r="J355">
        <f t="shared" si="204"/>
        <v>-0.87290339744287193</v>
      </c>
      <c r="K355">
        <f t="shared" si="204"/>
        <v>0</v>
      </c>
      <c r="L355">
        <f t="shared" si="204"/>
        <v>0</v>
      </c>
      <c r="M355">
        <f t="shared" si="204"/>
        <v>0</v>
      </c>
      <c r="N355">
        <f t="shared" si="204"/>
        <v>0</v>
      </c>
      <c r="O355">
        <f t="shared" si="204"/>
        <v>0</v>
      </c>
      <c r="P355">
        <f t="shared" si="204"/>
        <v>0</v>
      </c>
      <c r="Q355">
        <f t="shared" si="204"/>
        <v>-3.3750130534524367</v>
      </c>
      <c r="R355" t="str">
        <f t="shared" si="204"/>
        <v>ResSpHtFAFZ1</v>
      </c>
    </row>
    <row r="356" spans="1:18">
      <c r="A356" t="str">
        <f t="shared" ref="A356" si="205">A279</f>
        <v>Single Family</v>
      </c>
      <c r="C356" t="str">
        <f t="shared" si="195"/>
        <v>Tier2_indor2_gfac</v>
      </c>
      <c r="D356" t="str">
        <f t="shared" ref="D356:R356" si="206">D279</f>
        <v>Coolkwh</v>
      </c>
      <c r="E356" s="41">
        <f t="shared" si="206"/>
        <v>-4.7969612522366845</v>
      </c>
      <c r="F356">
        <f t="shared" si="206"/>
        <v>13</v>
      </c>
      <c r="G356">
        <f t="shared" si="206"/>
        <v>0</v>
      </c>
      <c r="H356">
        <f t="shared" si="206"/>
        <v>0</v>
      </c>
      <c r="I356" t="str">
        <f t="shared" si="206"/>
        <v>ResCACPNW</v>
      </c>
      <c r="J356">
        <f t="shared" si="206"/>
        <v>-0.87290339744287193</v>
      </c>
      <c r="K356">
        <f t="shared" si="206"/>
        <v>0</v>
      </c>
      <c r="L356">
        <f t="shared" si="206"/>
        <v>0</v>
      </c>
      <c r="M356">
        <f t="shared" si="206"/>
        <v>0</v>
      </c>
      <c r="N356">
        <f t="shared" si="206"/>
        <v>0</v>
      </c>
      <c r="O356">
        <f t="shared" si="206"/>
        <v>0</v>
      </c>
      <c r="P356">
        <f t="shared" si="206"/>
        <v>0</v>
      </c>
      <c r="Q356">
        <f t="shared" si="206"/>
        <v>0</v>
      </c>
      <c r="R356" t="str">
        <f t="shared" si="206"/>
        <v/>
      </c>
    </row>
    <row r="357" spans="1:18">
      <c r="A357" t="str">
        <f t="shared" ref="A357" si="207">A280</f>
        <v>Single Family</v>
      </c>
      <c r="C357" t="str">
        <f t="shared" si="195"/>
        <v>Tier2_indor2_efaf</v>
      </c>
      <c r="D357" t="str">
        <f t="shared" ref="D357:R357" si="208">D280</f>
        <v>DHWkwh</v>
      </c>
      <c r="E357" s="41">
        <f t="shared" si="208"/>
        <v>82.787030726763376</v>
      </c>
      <c r="F357">
        <f t="shared" si="208"/>
        <v>13</v>
      </c>
      <c r="G357">
        <f t="shared" si="208"/>
        <v>1183.5005381933324</v>
      </c>
      <c r="H357">
        <f t="shared" si="208"/>
        <v>0</v>
      </c>
      <c r="I357" t="str">
        <f t="shared" si="208"/>
        <v>ResDHW</v>
      </c>
      <c r="J357">
        <f t="shared" si="208"/>
        <v>-0.60507874701643671</v>
      </c>
      <c r="K357">
        <f t="shared" si="208"/>
        <v>0</v>
      </c>
      <c r="L357">
        <f t="shared" si="208"/>
        <v>0</v>
      </c>
      <c r="M357">
        <f t="shared" si="208"/>
        <v>0</v>
      </c>
      <c r="N357">
        <f t="shared" si="208"/>
        <v>0</v>
      </c>
      <c r="O357">
        <f t="shared" si="208"/>
        <v>0</v>
      </c>
      <c r="P357">
        <f t="shared" si="208"/>
        <v>0</v>
      </c>
      <c r="Q357">
        <f t="shared" si="208"/>
        <v>0</v>
      </c>
      <c r="R357" t="str">
        <f t="shared" si="208"/>
        <v/>
      </c>
    </row>
    <row r="358" spans="1:18">
      <c r="A358" t="str">
        <f t="shared" ref="A358" si="209">A281</f>
        <v>Single Family</v>
      </c>
      <c r="C358" t="str">
        <f t="shared" si="195"/>
        <v>Tier2_indor2_efaf</v>
      </c>
      <c r="D358" t="str">
        <f t="shared" ref="D358:R358" si="210">D281</f>
        <v>Heatkwh</v>
      </c>
      <c r="E358" s="41">
        <f t="shared" si="210"/>
        <v>-59.842825091439764</v>
      </c>
      <c r="F358">
        <f t="shared" si="210"/>
        <v>13</v>
      </c>
      <c r="G358">
        <f t="shared" si="210"/>
        <v>0</v>
      </c>
      <c r="H358">
        <f t="shared" si="210"/>
        <v>0</v>
      </c>
      <c r="I358" t="str">
        <f t="shared" si="210"/>
        <v>ResSpHtFAFZ1</v>
      </c>
      <c r="J358">
        <f t="shared" si="210"/>
        <v>-0.60507874701643671</v>
      </c>
      <c r="K358">
        <f t="shared" si="210"/>
        <v>0</v>
      </c>
      <c r="L358">
        <f t="shared" si="210"/>
        <v>0</v>
      </c>
      <c r="M358">
        <f t="shared" si="210"/>
        <v>0</v>
      </c>
      <c r="N358">
        <f t="shared" si="210"/>
        <v>0</v>
      </c>
      <c r="O358">
        <f t="shared" si="210"/>
        <v>0</v>
      </c>
      <c r="P358">
        <f t="shared" si="210"/>
        <v>0</v>
      </c>
      <c r="Q358">
        <f t="shared" si="210"/>
        <v>-0.11974287287715706</v>
      </c>
      <c r="R358" t="str">
        <f t="shared" si="210"/>
        <v>ResSpHtFAFZ1</v>
      </c>
    </row>
    <row r="359" spans="1:18">
      <c r="A359" t="str">
        <f t="shared" ref="A359" si="211">A282</f>
        <v>Single Family</v>
      </c>
      <c r="C359" t="str">
        <f t="shared" si="195"/>
        <v>Tier2_indor2_efaf</v>
      </c>
      <c r="D359" t="str">
        <f t="shared" ref="D359:R359" si="212">D282</f>
        <v>Coolkwh</v>
      </c>
      <c r="E359" s="41">
        <f t="shared" si="212"/>
        <v>0</v>
      </c>
      <c r="F359">
        <f t="shared" si="212"/>
        <v>13</v>
      </c>
      <c r="G359">
        <f t="shared" si="212"/>
        <v>0</v>
      </c>
      <c r="H359">
        <f t="shared" si="212"/>
        <v>0</v>
      </c>
      <c r="I359" t="str">
        <f t="shared" si="212"/>
        <v>ResCACPNW</v>
      </c>
      <c r="J359">
        <f t="shared" si="212"/>
        <v>-0.60507874701643671</v>
      </c>
      <c r="K359">
        <f t="shared" si="212"/>
        <v>0</v>
      </c>
      <c r="L359">
        <f t="shared" si="212"/>
        <v>0</v>
      </c>
      <c r="M359">
        <f t="shared" si="212"/>
        <v>0</v>
      </c>
      <c r="N359">
        <f t="shared" si="212"/>
        <v>0</v>
      </c>
      <c r="O359">
        <f t="shared" si="212"/>
        <v>0</v>
      </c>
      <c r="P359">
        <f t="shared" si="212"/>
        <v>0</v>
      </c>
      <c r="Q359">
        <f t="shared" si="212"/>
        <v>0</v>
      </c>
      <c r="R359" t="str">
        <f t="shared" si="212"/>
        <v/>
      </c>
    </row>
    <row r="360" spans="1:18">
      <c r="A360" t="str">
        <f t="shared" ref="A360" si="213">A283</f>
        <v>Single Family</v>
      </c>
      <c r="C360" t="str">
        <f t="shared" si="195"/>
        <v>Tier2_indor2_hp85</v>
      </c>
      <c r="D360" t="str">
        <f t="shared" ref="D360:R360" si="214">D283</f>
        <v>DHWkwh</v>
      </c>
      <c r="E360" s="41">
        <f t="shared" si="214"/>
        <v>88.060231678776773</v>
      </c>
      <c r="F360">
        <f t="shared" si="214"/>
        <v>13</v>
      </c>
      <c r="G360">
        <f t="shared" si="214"/>
        <v>1183.5005381933324</v>
      </c>
      <c r="H360">
        <f t="shared" si="214"/>
        <v>0</v>
      </c>
      <c r="I360" t="str">
        <f t="shared" si="214"/>
        <v>ResDHW</v>
      </c>
      <c r="J360">
        <f t="shared" si="214"/>
        <v>-0.37094334468082091</v>
      </c>
      <c r="K360">
        <f t="shared" si="214"/>
        <v>0</v>
      </c>
      <c r="L360">
        <f t="shared" si="214"/>
        <v>0</v>
      </c>
      <c r="M360">
        <f t="shared" si="214"/>
        <v>0</v>
      </c>
      <c r="N360">
        <f t="shared" si="214"/>
        <v>0</v>
      </c>
      <c r="O360">
        <f t="shared" si="214"/>
        <v>0</v>
      </c>
      <c r="P360">
        <f t="shared" si="214"/>
        <v>0</v>
      </c>
      <c r="Q360">
        <f t="shared" si="214"/>
        <v>0</v>
      </c>
      <c r="R360" t="str">
        <f t="shared" si="214"/>
        <v/>
      </c>
    </row>
    <row r="361" spans="1:18">
      <c r="A361" t="str">
        <f t="shared" ref="A361" si="215">A284</f>
        <v>Single Family</v>
      </c>
      <c r="C361" t="str">
        <f t="shared" si="195"/>
        <v>Tier2_indor2_hp85</v>
      </c>
      <c r="D361" t="str">
        <f t="shared" ref="D361:R361" si="216">D284</f>
        <v>Heatkwh</v>
      </c>
      <c r="E361" s="41">
        <f t="shared" si="216"/>
        <v>-36.730358594795504</v>
      </c>
      <c r="F361">
        <f t="shared" si="216"/>
        <v>13</v>
      </c>
      <c r="G361">
        <f t="shared" si="216"/>
        <v>0</v>
      </c>
      <c r="H361">
        <f t="shared" si="216"/>
        <v>0</v>
      </c>
      <c r="I361" t="str">
        <f t="shared" si="216"/>
        <v>ResSpHtHPZ1</v>
      </c>
      <c r="J361">
        <f t="shared" si="216"/>
        <v>-0.37094334468082091</v>
      </c>
      <c r="K361">
        <f t="shared" si="216"/>
        <v>0</v>
      </c>
      <c r="L361">
        <f t="shared" si="216"/>
        <v>0</v>
      </c>
      <c r="M361">
        <f t="shared" si="216"/>
        <v>0</v>
      </c>
      <c r="N361">
        <f t="shared" si="216"/>
        <v>0</v>
      </c>
      <c r="O361">
        <f t="shared" si="216"/>
        <v>0</v>
      </c>
      <c r="P361">
        <f t="shared" si="216"/>
        <v>0</v>
      </c>
      <c r="Q361">
        <f t="shared" si="216"/>
        <v>-6.9490010107839964E-2</v>
      </c>
      <c r="R361" t="str">
        <f t="shared" si="216"/>
        <v>ResSpHtHPZ1</v>
      </c>
    </row>
    <row r="362" spans="1:18">
      <c r="A362" t="str">
        <f t="shared" ref="A362" si="217">A285</f>
        <v>Single Family</v>
      </c>
      <c r="C362" t="str">
        <f t="shared" si="195"/>
        <v>Tier2_indor2_hp85</v>
      </c>
      <c r="D362" t="str">
        <f t="shared" ref="D362:R362" si="218">D285</f>
        <v>Coolkwh</v>
      </c>
      <c r="E362" s="41">
        <f t="shared" si="218"/>
        <v>-4.8043358751706648</v>
      </c>
      <c r="F362">
        <f t="shared" si="218"/>
        <v>13</v>
      </c>
      <c r="G362">
        <f t="shared" si="218"/>
        <v>0</v>
      </c>
      <c r="H362">
        <f t="shared" si="218"/>
        <v>0</v>
      </c>
      <c r="I362" t="str">
        <f t="shared" si="218"/>
        <v>ResCACPNW</v>
      </c>
      <c r="J362">
        <f t="shared" si="218"/>
        <v>-0.37094334468082091</v>
      </c>
      <c r="K362">
        <f t="shared" si="218"/>
        <v>0</v>
      </c>
      <c r="L362">
        <f t="shared" si="218"/>
        <v>0</v>
      </c>
      <c r="M362">
        <f t="shared" si="218"/>
        <v>0</v>
      </c>
      <c r="N362">
        <f t="shared" si="218"/>
        <v>0</v>
      </c>
      <c r="O362">
        <f t="shared" si="218"/>
        <v>0</v>
      </c>
      <c r="P362">
        <f t="shared" si="218"/>
        <v>0</v>
      </c>
      <c r="Q362">
        <f t="shared" si="218"/>
        <v>0</v>
      </c>
      <c r="R362" t="str">
        <f t="shared" si="218"/>
        <v/>
      </c>
    </row>
    <row r="363" spans="1:18">
      <c r="A363" t="str">
        <f t="shared" ref="A363" si="219">A286</f>
        <v>Single Family</v>
      </c>
      <c r="C363" t="str">
        <f t="shared" si="195"/>
        <v>Tier2_indor2_zonl</v>
      </c>
      <c r="D363" t="str">
        <f t="shared" ref="D363:R363" si="220">D286</f>
        <v>DHWkwh</v>
      </c>
      <c r="E363" s="41">
        <f t="shared" si="220"/>
        <v>82.759162084041577</v>
      </c>
      <c r="F363">
        <f t="shared" si="220"/>
        <v>13</v>
      </c>
      <c r="G363">
        <f t="shared" si="220"/>
        <v>1183.5005381933324</v>
      </c>
      <c r="H363">
        <f t="shared" si="220"/>
        <v>0</v>
      </c>
      <c r="I363" t="str">
        <f t="shared" si="220"/>
        <v>ResDHW</v>
      </c>
      <c r="J363">
        <f t="shared" si="220"/>
        <v>-0.53678994236920285</v>
      </c>
      <c r="K363">
        <f t="shared" si="220"/>
        <v>0</v>
      </c>
      <c r="L363">
        <f t="shared" si="220"/>
        <v>0</v>
      </c>
      <c r="M363">
        <f t="shared" si="220"/>
        <v>0</v>
      </c>
      <c r="N363">
        <f t="shared" si="220"/>
        <v>0</v>
      </c>
      <c r="O363">
        <f t="shared" si="220"/>
        <v>0</v>
      </c>
      <c r="P363">
        <f t="shared" si="220"/>
        <v>0</v>
      </c>
      <c r="Q363">
        <f t="shared" si="220"/>
        <v>0</v>
      </c>
      <c r="R363" t="str">
        <f t="shared" si="220"/>
        <v/>
      </c>
    </row>
    <row r="364" spans="1:18">
      <c r="A364" t="str">
        <f t="shared" ref="A364" si="221">A287</f>
        <v>Single Family</v>
      </c>
      <c r="C364" t="str">
        <f t="shared" si="195"/>
        <v>Tier2_indor2_zonl</v>
      </c>
      <c r="D364" t="str">
        <f t="shared" ref="D364:R364" si="222">D287</f>
        <v>Heatkwh</v>
      </c>
      <c r="E364" s="41">
        <f t="shared" si="222"/>
        <v>-53.088317947567184</v>
      </c>
      <c r="F364">
        <f t="shared" si="222"/>
        <v>13</v>
      </c>
      <c r="G364">
        <f t="shared" si="222"/>
        <v>0</v>
      </c>
      <c r="H364">
        <f t="shared" si="222"/>
        <v>0</v>
      </c>
      <c r="I364" t="str">
        <f t="shared" si="222"/>
        <v>ResSpHtBBZ1</v>
      </c>
      <c r="J364">
        <f t="shared" si="222"/>
        <v>-0.53678994236920285</v>
      </c>
      <c r="K364">
        <f t="shared" si="222"/>
        <v>0</v>
      </c>
      <c r="L364">
        <f t="shared" si="222"/>
        <v>0</v>
      </c>
      <c r="M364">
        <f t="shared" si="222"/>
        <v>0</v>
      </c>
      <c r="N364">
        <f t="shared" si="222"/>
        <v>0</v>
      </c>
      <c r="O364">
        <f t="shared" si="222"/>
        <v>0</v>
      </c>
      <c r="P364">
        <f t="shared" si="222"/>
        <v>0</v>
      </c>
      <c r="Q364">
        <f t="shared" si="222"/>
        <v>-0.10629003081412733</v>
      </c>
      <c r="R364" t="str">
        <f t="shared" si="222"/>
        <v>ResSpHtBBZ1</v>
      </c>
    </row>
    <row r="365" spans="1:18">
      <c r="A365" t="str">
        <f t="shared" ref="A365" si="223">A288</f>
        <v>Single Family</v>
      </c>
      <c r="C365" t="str">
        <f t="shared" si="195"/>
        <v>Tier2_indor2_zonl</v>
      </c>
      <c r="D365" t="str">
        <f t="shared" ref="D365:R365" si="224">D288</f>
        <v>Coolkwh</v>
      </c>
      <c r="E365" s="41">
        <f t="shared" si="224"/>
        <v>0</v>
      </c>
      <c r="F365">
        <f t="shared" si="224"/>
        <v>13</v>
      </c>
      <c r="G365">
        <f t="shared" si="224"/>
        <v>0</v>
      </c>
      <c r="H365">
        <f t="shared" si="224"/>
        <v>0</v>
      </c>
      <c r="I365" t="str">
        <f t="shared" si="224"/>
        <v>ResCACPNW</v>
      </c>
      <c r="J365">
        <f t="shared" si="224"/>
        <v>-0.53678994236920285</v>
      </c>
      <c r="K365">
        <f t="shared" si="224"/>
        <v>0</v>
      </c>
      <c r="L365">
        <f t="shared" si="224"/>
        <v>0</v>
      </c>
      <c r="M365">
        <f t="shared" si="224"/>
        <v>0</v>
      </c>
      <c r="N365">
        <f t="shared" si="224"/>
        <v>0</v>
      </c>
      <c r="O365">
        <f t="shared" si="224"/>
        <v>0</v>
      </c>
      <c r="P365">
        <f t="shared" si="224"/>
        <v>0</v>
      </c>
      <c r="Q365">
        <f t="shared" si="224"/>
        <v>0</v>
      </c>
      <c r="R365" t="str">
        <f t="shared" si="224"/>
        <v/>
      </c>
    </row>
    <row r="366" spans="1:18">
      <c r="A366" t="str">
        <f t="shared" ref="A366" si="225">A289</f>
        <v>Manufactured</v>
      </c>
      <c r="C366" t="s">
        <v>445</v>
      </c>
      <c r="D366" t="str">
        <f t="shared" ref="D366:R366" si="226">D289</f>
        <v>DHWkwh</v>
      </c>
      <c r="E366" s="41">
        <f t="shared" si="226"/>
        <v>939.9177593105162</v>
      </c>
      <c r="F366">
        <f t="shared" si="226"/>
        <v>13</v>
      </c>
      <c r="G366">
        <f t="shared" si="226"/>
        <v>724.5875237038573</v>
      </c>
      <c r="H366">
        <f t="shared" si="226"/>
        <v>0</v>
      </c>
      <c r="I366" t="str">
        <f t="shared" si="226"/>
        <v>ResDHW</v>
      </c>
      <c r="J366">
        <f t="shared" si="226"/>
        <v>0</v>
      </c>
      <c r="K366">
        <f t="shared" si="226"/>
        <v>0</v>
      </c>
      <c r="L366">
        <f t="shared" si="226"/>
        <v>0</v>
      </c>
      <c r="M366">
        <f t="shared" si="226"/>
        <v>0</v>
      </c>
      <c r="N366">
        <f t="shared" si="226"/>
        <v>0</v>
      </c>
      <c r="O366">
        <f t="shared" si="226"/>
        <v>0</v>
      </c>
      <c r="P366">
        <f t="shared" si="226"/>
        <v>0</v>
      </c>
      <c r="Q366">
        <f t="shared" si="226"/>
        <v>0</v>
      </c>
      <c r="R366" t="str">
        <f t="shared" si="226"/>
        <v/>
      </c>
    </row>
    <row r="367" spans="1:18">
      <c r="A367" t="str">
        <f t="shared" ref="A367" si="227">A290</f>
        <v>Manufactured</v>
      </c>
      <c r="C367" t="str">
        <f>C366</f>
        <v>Tier1_buffered</v>
      </c>
      <c r="D367" t="str">
        <f t="shared" ref="D367:R367" si="228">D290</f>
        <v>Heatkwh</v>
      </c>
      <c r="E367" s="41">
        <f t="shared" si="228"/>
        <v>0</v>
      </c>
      <c r="F367">
        <f t="shared" si="228"/>
        <v>13</v>
      </c>
      <c r="G367">
        <f t="shared" si="228"/>
        <v>0</v>
      </c>
      <c r="H367">
        <f t="shared" si="228"/>
        <v>0</v>
      </c>
      <c r="I367" t="str">
        <f t="shared" si="228"/>
        <v>ResSpHtFAFZ1</v>
      </c>
      <c r="J367">
        <f t="shared" si="228"/>
        <v>0</v>
      </c>
      <c r="K367">
        <f t="shared" si="228"/>
        <v>0</v>
      </c>
      <c r="L367">
        <f t="shared" si="228"/>
        <v>0</v>
      </c>
      <c r="M367">
        <f t="shared" si="228"/>
        <v>0</v>
      </c>
      <c r="N367">
        <f t="shared" si="228"/>
        <v>0</v>
      </c>
      <c r="O367">
        <f t="shared" si="228"/>
        <v>0</v>
      </c>
      <c r="P367">
        <f t="shared" si="228"/>
        <v>0</v>
      </c>
      <c r="Q367">
        <f t="shared" si="228"/>
        <v>0</v>
      </c>
      <c r="R367" t="str">
        <f t="shared" si="228"/>
        <v/>
      </c>
    </row>
    <row r="368" spans="1:18">
      <c r="A368" t="str">
        <f t="shared" ref="A368" si="229">A291</f>
        <v>Manufactured</v>
      </c>
      <c r="C368" t="str">
        <f>C366</f>
        <v>Tier1_buffered</v>
      </c>
      <c r="D368" t="str">
        <f t="shared" ref="D368:R368" si="230">D291</f>
        <v>Coolkwh</v>
      </c>
      <c r="E368" s="41">
        <f t="shared" si="230"/>
        <v>0</v>
      </c>
      <c r="F368">
        <f t="shared" si="230"/>
        <v>13</v>
      </c>
      <c r="G368">
        <f t="shared" si="230"/>
        <v>0</v>
      </c>
      <c r="H368">
        <f t="shared" si="230"/>
        <v>0</v>
      </c>
      <c r="I368" t="str">
        <f t="shared" si="230"/>
        <v>ResCACPNW</v>
      </c>
      <c r="J368">
        <f t="shared" si="230"/>
        <v>0</v>
      </c>
      <c r="K368">
        <f t="shared" si="230"/>
        <v>0</v>
      </c>
      <c r="L368">
        <f t="shared" si="230"/>
        <v>0</v>
      </c>
      <c r="M368">
        <f t="shared" si="230"/>
        <v>0</v>
      </c>
      <c r="N368">
        <f t="shared" si="230"/>
        <v>0</v>
      </c>
      <c r="O368">
        <f t="shared" si="230"/>
        <v>0</v>
      </c>
      <c r="P368">
        <f t="shared" si="230"/>
        <v>0</v>
      </c>
      <c r="Q368">
        <f t="shared" si="230"/>
        <v>0</v>
      </c>
      <c r="R368" t="str">
        <f t="shared" si="230"/>
        <v/>
      </c>
    </row>
    <row r="369" spans="1:18">
      <c r="A369" t="str">
        <f t="shared" ref="A369" si="231">A292</f>
        <v>Manufactured</v>
      </c>
      <c r="C369" t="str">
        <f t="shared" ref="C369:R369" si="232">C292</f>
        <v>Tier1_indor2_gfnc</v>
      </c>
      <c r="D369" t="str">
        <f t="shared" si="232"/>
        <v>DHWkwh</v>
      </c>
      <c r="E369" s="41">
        <f t="shared" si="232"/>
        <v>1271.3874301974433</v>
      </c>
      <c r="F369">
        <f t="shared" si="232"/>
        <v>13</v>
      </c>
      <c r="G369">
        <f t="shared" si="232"/>
        <v>724.5875237038573</v>
      </c>
      <c r="H369">
        <f t="shared" si="232"/>
        <v>0</v>
      </c>
      <c r="I369" t="str">
        <f t="shared" si="232"/>
        <v>ResDHW</v>
      </c>
      <c r="J369">
        <f t="shared" si="232"/>
        <v>-4.8682313075785526</v>
      </c>
      <c r="K369">
        <f t="shared" si="232"/>
        <v>0</v>
      </c>
      <c r="L369">
        <f t="shared" si="232"/>
        <v>0</v>
      </c>
      <c r="M369">
        <f t="shared" si="232"/>
        <v>0</v>
      </c>
      <c r="N369">
        <f t="shared" si="232"/>
        <v>0</v>
      </c>
      <c r="O369">
        <f t="shared" si="232"/>
        <v>0</v>
      </c>
      <c r="P369">
        <f t="shared" si="232"/>
        <v>0</v>
      </c>
      <c r="Q369">
        <f t="shared" si="232"/>
        <v>0</v>
      </c>
      <c r="R369" t="str">
        <f t="shared" si="232"/>
        <v/>
      </c>
    </row>
    <row r="370" spans="1:18">
      <c r="A370" t="str">
        <f t="shared" ref="A370" si="233">A293</f>
        <v>Manufactured</v>
      </c>
      <c r="C370" t="str">
        <f t="shared" ref="C370" si="234">C293</f>
        <v>Tier1_indor2_gfnc</v>
      </c>
      <c r="D370" t="str">
        <f t="shared" ref="D370:R370" si="235">D293</f>
        <v>Heatkwh</v>
      </c>
      <c r="E370" s="41">
        <f t="shared" si="235"/>
        <v>-12.894946349935299</v>
      </c>
      <c r="F370">
        <f t="shared" si="235"/>
        <v>13</v>
      </c>
      <c r="G370">
        <f t="shared" si="235"/>
        <v>0</v>
      </c>
      <c r="H370">
        <f t="shared" si="235"/>
        <v>0</v>
      </c>
      <c r="I370" t="str">
        <f t="shared" si="235"/>
        <v>ResSpHtFAFZ1</v>
      </c>
      <c r="J370">
        <f t="shared" si="235"/>
        <v>-4.8682313075785526</v>
      </c>
      <c r="K370">
        <f t="shared" si="235"/>
        <v>0</v>
      </c>
      <c r="L370">
        <f t="shared" si="235"/>
        <v>0</v>
      </c>
      <c r="M370">
        <f t="shared" si="235"/>
        <v>0</v>
      </c>
      <c r="N370">
        <f t="shared" si="235"/>
        <v>0</v>
      </c>
      <c r="O370">
        <f t="shared" si="235"/>
        <v>0</v>
      </c>
      <c r="P370">
        <f t="shared" si="235"/>
        <v>0</v>
      </c>
      <c r="Q370">
        <f t="shared" si="235"/>
        <v>-18.818740530000344</v>
      </c>
      <c r="R370" t="str">
        <f t="shared" si="235"/>
        <v>ResSpHtFAFZ1</v>
      </c>
    </row>
    <row r="371" spans="1:18">
      <c r="A371" t="str">
        <f t="shared" ref="A371" si="236">A294</f>
        <v>Manufactured</v>
      </c>
      <c r="C371" t="str">
        <f t="shared" ref="C371" si="237">C294</f>
        <v>Tier1_indor2_gfnc</v>
      </c>
      <c r="D371" t="str">
        <f t="shared" ref="D371:R371" si="238">D294</f>
        <v>Coolkwh</v>
      </c>
      <c r="E371" s="41">
        <f t="shared" si="238"/>
        <v>0</v>
      </c>
      <c r="F371">
        <f t="shared" si="238"/>
        <v>13</v>
      </c>
      <c r="G371">
        <f t="shared" si="238"/>
        <v>0</v>
      </c>
      <c r="H371">
        <f t="shared" si="238"/>
        <v>0</v>
      </c>
      <c r="I371" t="str">
        <f t="shared" si="238"/>
        <v>ResCACPNW</v>
      </c>
      <c r="J371">
        <f t="shared" si="238"/>
        <v>-4.8682313075785526</v>
      </c>
      <c r="K371">
        <f t="shared" si="238"/>
        <v>0</v>
      </c>
      <c r="L371">
        <f t="shared" si="238"/>
        <v>0</v>
      </c>
      <c r="M371">
        <f t="shared" si="238"/>
        <v>0</v>
      </c>
      <c r="N371">
        <f t="shared" si="238"/>
        <v>0</v>
      </c>
      <c r="O371">
        <f t="shared" si="238"/>
        <v>0</v>
      </c>
      <c r="P371">
        <f t="shared" si="238"/>
        <v>0</v>
      </c>
      <c r="Q371">
        <f t="shared" si="238"/>
        <v>0</v>
      </c>
      <c r="R371" t="str">
        <f t="shared" si="238"/>
        <v/>
      </c>
    </row>
    <row r="372" spans="1:18">
      <c r="A372" t="str">
        <f t="shared" ref="A372" si="239">A295</f>
        <v>Manufactured</v>
      </c>
      <c r="C372" t="str">
        <f t="shared" ref="C372" si="240">C295</f>
        <v>Tier1_indor2_gfac</v>
      </c>
      <c r="D372" t="str">
        <f t="shared" ref="D372:R372" si="241">D295</f>
        <v>DHWkwh</v>
      </c>
      <c r="E372" s="41">
        <f t="shared" si="241"/>
        <v>1256.8914656855256</v>
      </c>
      <c r="F372">
        <f t="shared" si="241"/>
        <v>13</v>
      </c>
      <c r="G372">
        <f t="shared" si="241"/>
        <v>724.5875237038573</v>
      </c>
      <c r="H372">
        <f t="shared" si="241"/>
        <v>0</v>
      </c>
      <c r="I372" t="str">
        <f t="shared" si="241"/>
        <v>ResDHW</v>
      </c>
      <c r="J372">
        <f t="shared" si="241"/>
        <v>-4.9203717908006261</v>
      </c>
      <c r="K372">
        <f t="shared" si="241"/>
        <v>0</v>
      </c>
      <c r="L372">
        <f t="shared" si="241"/>
        <v>0</v>
      </c>
      <c r="M372">
        <f t="shared" si="241"/>
        <v>0</v>
      </c>
      <c r="N372">
        <f t="shared" si="241"/>
        <v>0</v>
      </c>
      <c r="O372">
        <f t="shared" si="241"/>
        <v>0</v>
      </c>
      <c r="P372">
        <f t="shared" si="241"/>
        <v>0</v>
      </c>
      <c r="Q372">
        <f t="shared" si="241"/>
        <v>0</v>
      </c>
      <c r="R372" t="str">
        <f t="shared" si="241"/>
        <v/>
      </c>
    </row>
    <row r="373" spans="1:18">
      <c r="A373" t="str">
        <f t="shared" ref="A373" si="242">A296</f>
        <v>Manufactured</v>
      </c>
      <c r="C373" t="str">
        <f t="shared" ref="C373" si="243">C296</f>
        <v>Tier1_indor2_gfac</v>
      </c>
      <c r="D373" t="str">
        <f t="shared" ref="D373:R373" si="244">D296</f>
        <v>Heatkwh</v>
      </c>
      <c r="E373" s="41">
        <f t="shared" si="244"/>
        <v>-14.080608314333379</v>
      </c>
      <c r="F373">
        <f t="shared" si="244"/>
        <v>13</v>
      </c>
      <c r="G373">
        <f t="shared" si="244"/>
        <v>0</v>
      </c>
      <c r="H373">
        <f t="shared" si="244"/>
        <v>0</v>
      </c>
      <c r="I373" t="str">
        <f t="shared" si="244"/>
        <v>ResSpHtFAFZ1</v>
      </c>
      <c r="J373">
        <f t="shared" si="244"/>
        <v>-4.9203717908006261</v>
      </c>
      <c r="K373">
        <f t="shared" si="244"/>
        <v>0</v>
      </c>
      <c r="L373">
        <f t="shared" si="244"/>
        <v>0</v>
      </c>
      <c r="M373">
        <f t="shared" si="244"/>
        <v>0</v>
      </c>
      <c r="N373">
        <f t="shared" si="244"/>
        <v>0</v>
      </c>
      <c r="O373">
        <f t="shared" si="244"/>
        <v>0</v>
      </c>
      <c r="P373">
        <f t="shared" si="244"/>
        <v>0</v>
      </c>
      <c r="Q373">
        <f t="shared" si="244"/>
        <v>-18.980054965029311</v>
      </c>
      <c r="R373" t="str">
        <f t="shared" si="244"/>
        <v>ResSpHtFAFZ1</v>
      </c>
    </row>
    <row r="374" spans="1:18">
      <c r="A374" t="str">
        <f t="shared" ref="A374" si="245">A297</f>
        <v>Manufactured</v>
      </c>
      <c r="C374" t="str">
        <f t="shared" ref="C374" si="246">C297</f>
        <v>Tier1_indor2_gfac</v>
      </c>
      <c r="D374" t="str">
        <f t="shared" ref="D374:R374" si="247">D297</f>
        <v>Coolkwh</v>
      </c>
      <c r="E374" s="41">
        <f t="shared" si="247"/>
        <v>30.980944371868173</v>
      </c>
      <c r="F374">
        <f t="shared" si="247"/>
        <v>13</v>
      </c>
      <c r="G374">
        <f t="shared" si="247"/>
        <v>0</v>
      </c>
      <c r="H374">
        <f t="shared" si="247"/>
        <v>0</v>
      </c>
      <c r="I374" t="str">
        <f t="shared" si="247"/>
        <v>ResCACPNW</v>
      </c>
      <c r="J374">
        <f t="shared" si="247"/>
        <v>-4.9203717908006261</v>
      </c>
      <c r="K374">
        <f t="shared" si="247"/>
        <v>0</v>
      </c>
      <c r="L374">
        <f t="shared" si="247"/>
        <v>0</v>
      </c>
      <c r="M374">
        <f t="shared" si="247"/>
        <v>0</v>
      </c>
      <c r="N374">
        <f t="shared" si="247"/>
        <v>0</v>
      </c>
      <c r="O374">
        <f t="shared" si="247"/>
        <v>0</v>
      </c>
      <c r="P374">
        <f t="shared" si="247"/>
        <v>0</v>
      </c>
      <c r="Q374">
        <f t="shared" si="247"/>
        <v>0</v>
      </c>
      <c r="R374" t="str">
        <f t="shared" si="247"/>
        <v/>
      </c>
    </row>
    <row r="375" spans="1:18">
      <c r="A375" t="str">
        <f t="shared" ref="A375" si="248">A298</f>
        <v>Manufactured</v>
      </c>
      <c r="C375" t="str">
        <f t="shared" ref="C375" si="249">C298</f>
        <v>Tier1_indor2_efaf</v>
      </c>
      <c r="D375" t="str">
        <f t="shared" ref="D375:R375" si="250">D298</f>
        <v>DHWkwh</v>
      </c>
      <c r="E375" s="41">
        <f t="shared" si="250"/>
        <v>1271.3874301974433</v>
      </c>
      <c r="F375">
        <f t="shared" si="250"/>
        <v>13</v>
      </c>
      <c r="G375">
        <f t="shared" si="250"/>
        <v>724.5875237038573</v>
      </c>
      <c r="H375">
        <f t="shared" si="250"/>
        <v>0</v>
      </c>
      <c r="I375" t="str">
        <f t="shared" si="250"/>
        <v>ResDHW</v>
      </c>
      <c r="J375">
        <f t="shared" si="250"/>
        <v>-3.4321210290528681</v>
      </c>
      <c r="K375">
        <f t="shared" si="250"/>
        <v>0</v>
      </c>
      <c r="L375">
        <f t="shared" si="250"/>
        <v>0</v>
      </c>
      <c r="M375">
        <f t="shared" si="250"/>
        <v>0</v>
      </c>
      <c r="N375">
        <f t="shared" si="250"/>
        <v>0</v>
      </c>
      <c r="O375">
        <f t="shared" si="250"/>
        <v>0</v>
      </c>
      <c r="P375">
        <f t="shared" si="250"/>
        <v>0</v>
      </c>
      <c r="Q375">
        <f t="shared" si="250"/>
        <v>0</v>
      </c>
      <c r="R375" t="str">
        <f t="shared" si="250"/>
        <v/>
      </c>
    </row>
    <row r="376" spans="1:18">
      <c r="A376" t="str">
        <f t="shared" ref="A376" si="251">A299</f>
        <v>Manufactured</v>
      </c>
      <c r="C376" t="str">
        <f t="shared" ref="C376" si="252">C299</f>
        <v>Tier1_indor2_efaf</v>
      </c>
      <c r="D376" t="str">
        <f t="shared" ref="D376:R376" si="253">D299</f>
        <v>Heatkwh</v>
      </c>
      <c r="E376" s="41">
        <f t="shared" si="253"/>
        <v>-340.13690483525392</v>
      </c>
      <c r="F376">
        <f t="shared" si="253"/>
        <v>13</v>
      </c>
      <c r="G376">
        <f t="shared" si="253"/>
        <v>0</v>
      </c>
      <c r="H376">
        <f t="shared" si="253"/>
        <v>0</v>
      </c>
      <c r="I376" t="str">
        <f t="shared" si="253"/>
        <v>ResSpHtFAFZ1</v>
      </c>
      <c r="J376">
        <f t="shared" si="253"/>
        <v>-3.4321210290528681</v>
      </c>
      <c r="K376">
        <f t="shared" si="253"/>
        <v>0</v>
      </c>
      <c r="L376">
        <f t="shared" si="253"/>
        <v>0</v>
      </c>
      <c r="M376">
        <f t="shared" si="253"/>
        <v>0</v>
      </c>
      <c r="N376">
        <f t="shared" si="253"/>
        <v>0</v>
      </c>
      <c r="O376">
        <f t="shared" si="253"/>
        <v>0</v>
      </c>
      <c r="P376">
        <f t="shared" si="253"/>
        <v>0</v>
      </c>
      <c r="Q376">
        <f t="shared" si="253"/>
        <v>-0.6167469118019353</v>
      </c>
      <c r="R376" t="str">
        <f t="shared" si="253"/>
        <v>ResSpHtFAFZ1</v>
      </c>
    </row>
    <row r="377" spans="1:18">
      <c r="A377" t="str">
        <f t="shared" ref="A377" si="254">A300</f>
        <v>Manufactured</v>
      </c>
      <c r="C377" t="str">
        <f t="shared" ref="C377" si="255">C300</f>
        <v>Tier1_indor2_efaf</v>
      </c>
      <c r="D377" t="str">
        <f t="shared" ref="D377:R377" si="256">D300</f>
        <v>Coolkwh</v>
      </c>
      <c r="E377" s="41">
        <f t="shared" si="256"/>
        <v>0</v>
      </c>
      <c r="F377">
        <f t="shared" si="256"/>
        <v>13</v>
      </c>
      <c r="G377">
        <f t="shared" si="256"/>
        <v>0</v>
      </c>
      <c r="H377">
        <f t="shared" si="256"/>
        <v>0</v>
      </c>
      <c r="I377" t="str">
        <f t="shared" si="256"/>
        <v>ResCACPNW</v>
      </c>
      <c r="J377">
        <f t="shared" si="256"/>
        <v>-3.4321210290528681</v>
      </c>
      <c r="K377">
        <f t="shared" si="256"/>
        <v>0</v>
      </c>
      <c r="L377">
        <f t="shared" si="256"/>
        <v>0</v>
      </c>
      <c r="M377">
        <f t="shared" si="256"/>
        <v>0</v>
      </c>
      <c r="N377">
        <f t="shared" si="256"/>
        <v>0</v>
      </c>
      <c r="O377">
        <f t="shared" si="256"/>
        <v>0</v>
      </c>
      <c r="P377">
        <f t="shared" si="256"/>
        <v>0</v>
      </c>
      <c r="Q377">
        <f t="shared" si="256"/>
        <v>0</v>
      </c>
      <c r="R377" t="str">
        <f t="shared" si="256"/>
        <v/>
      </c>
    </row>
    <row r="378" spans="1:18">
      <c r="A378" t="str">
        <f t="shared" ref="A378" si="257">A301</f>
        <v>Manufactured</v>
      </c>
      <c r="C378" t="str">
        <f t="shared" ref="C378" si="258">C301</f>
        <v>Tier1_indor2_hp85</v>
      </c>
      <c r="D378" t="str">
        <f t="shared" ref="D378:R378" si="259">D301</f>
        <v>DHWkwh</v>
      </c>
      <c r="E378" s="41">
        <f t="shared" si="259"/>
        <v>1256.8936915400509</v>
      </c>
      <c r="F378">
        <f t="shared" si="259"/>
        <v>13</v>
      </c>
      <c r="G378">
        <f t="shared" si="259"/>
        <v>724.5875237038573</v>
      </c>
      <c r="H378">
        <f t="shared" si="259"/>
        <v>0</v>
      </c>
      <c r="I378" t="str">
        <f t="shared" si="259"/>
        <v>ResDHW</v>
      </c>
      <c r="J378">
        <f t="shared" si="259"/>
        <v>-1.8870172572652186</v>
      </c>
      <c r="K378">
        <f t="shared" si="259"/>
        <v>0</v>
      </c>
      <c r="L378">
        <f t="shared" si="259"/>
        <v>0</v>
      </c>
      <c r="M378">
        <f t="shared" si="259"/>
        <v>0</v>
      </c>
      <c r="N378">
        <f t="shared" si="259"/>
        <v>0</v>
      </c>
      <c r="O378">
        <f t="shared" si="259"/>
        <v>0</v>
      </c>
      <c r="P378">
        <f t="shared" si="259"/>
        <v>0</v>
      </c>
      <c r="Q378">
        <f t="shared" si="259"/>
        <v>0</v>
      </c>
      <c r="R378" t="str">
        <f t="shared" si="259"/>
        <v/>
      </c>
    </row>
    <row r="379" spans="1:18">
      <c r="A379" t="str">
        <f t="shared" ref="A379" si="260">A302</f>
        <v>Manufactured</v>
      </c>
      <c r="C379" t="str">
        <f t="shared" ref="C379" si="261">C302</f>
        <v>Tier1_indor2_hp85</v>
      </c>
      <c r="D379" t="str">
        <f t="shared" ref="D379:R379" si="262">D302</f>
        <v>Heatkwh</v>
      </c>
      <c r="E379" s="41">
        <f t="shared" si="262"/>
        <v>-187.24934071395714</v>
      </c>
      <c r="F379">
        <f t="shared" si="262"/>
        <v>13</v>
      </c>
      <c r="G379">
        <f t="shared" si="262"/>
        <v>0</v>
      </c>
      <c r="H379">
        <f t="shared" si="262"/>
        <v>0</v>
      </c>
      <c r="I379" t="str">
        <f t="shared" si="262"/>
        <v>ResSpHtHPZ1</v>
      </c>
      <c r="J379">
        <f t="shared" si="262"/>
        <v>-1.8870172572652186</v>
      </c>
      <c r="K379">
        <f t="shared" si="262"/>
        <v>0</v>
      </c>
      <c r="L379">
        <f t="shared" si="262"/>
        <v>0</v>
      </c>
      <c r="M379">
        <f t="shared" si="262"/>
        <v>0</v>
      </c>
      <c r="N379">
        <f t="shared" si="262"/>
        <v>0</v>
      </c>
      <c r="O379">
        <f t="shared" si="262"/>
        <v>0</v>
      </c>
      <c r="P379">
        <f t="shared" si="262"/>
        <v>0</v>
      </c>
      <c r="Q379">
        <f t="shared" si="262"/>
        <v>-0.31773482851790352</v>
      </c>
      <c r="R379" t="str">
        <f t="shared" si="262"/>
        <v>ResSpHtHPZ1</v>
      </c>
    </row>
    <row r="380" spans="1:18">
      <c r="A380" t="str">
        <f t="shared" ref="A380" si="263">A303</f>
        <v>Manufactured</v>
      </c>
      <c r="C380" t="str">
        <f t="shared" ref="C380" si="264">C303</f>
        <v>Tier1_indor2_hp85</v>
      </c>
      <c r="D380" t="str">
        <f t="shared" ref="D380:R380" si="265">D303</f>
        <v>Coolkwh</v>
      </c>
      <c r="E380" s="41">
        <f t="shared" si="265"/>
        <v>31.160871390892524</v>
      </c>
      <c r="F380">
        <f t="shared" si="265"/>
        <v>13</v>
      </c>
      <c r="G380">
        <f t="shared" si="265"/>
        <v>0</v>
      </c>
      <c r="H380">
        <f t="shared" si="265"/>
        <v>0</v>
      </c>
      <c r="I380" t="str">
        <f t="shared" si="265"/>
        <v>ResCACPNW</v>
      </c>
      <c r="J380">
        <f t="shared" si="265"/>
        <v>-1.8870172572652186</v>
      </c>
      <c r="K380">
        <f t="shared" si="265"/>
        <v>0</v>
      </c>
      <c r="L380">
        <f t="shared" si="265"/>
        <v>0</v>
      </c>
      <c r="M380">
        <f t="shared" si="265"/>
        <v>0</v>
      </c>
      <c r="N380">
        <f t="shared" si="265"/>
        <v>0</v>
      </c>
      <c r="O380">
        <f t="shared" si="265"/>
        <v>0</v>
      </c>
      <c r="P380">
        <f t="shared" si="265"/>
        <v>0</v>
      </c>
      <c r="Q380">
        <f t="shared" si="265"/>
        <v>0</v>
      </c>
      <c r="R380" t="str">
        <f t="shared" si="265"/>
        <v/>
      </c>
    </row>
    <row r="381" spans="1:18">
      <c r="A381" t="str">
        <f t="shared" ref="A381" si="266">A304</f>
        <v>Manufactured</v>
      </c>
      <c r="C381" t="str">
        <f t="shared" ref="C381" si="267">C304</f>
        <v>Tier1_indor2_zonl</v>
      </c>
      <c r="D381" t="str">
        <f t="shared" ref="D381:R381" si="268">D304</f>
        <v>DHWkwh</v>
      </c>
      <c r="E381" s="41">
        <f t="shared" si="268"/>
        <v>1271.3178057500804</v>
      </c>
      <c r="F381">
        <f t="shared" si="268"/>
        <v>13</v>
      </c>
      <c r="G381">
        <f t="shared" si="268"/>
        <v>724.5875237038573</v>
      </c>
      <c r="H381">
        <f t="shared" si="268"/>
        <v>0</v>
      </c>
      <c r="I381" t="str">
        <f t="shared" si="268"/>
        <v>ResDHW</v>
      </c>
      <c r="J381">
        <f t="shared" si="268"/>
        <v>-3.0584943802000648</v>
      </c>
      <c r="K381">
        <f t="shared" si="268"/>
        <v>0</v>
      </c>
      <c r="L381">
        <f t="shared" si="268"/>
        <v>0</v>
      </c>
      <c r="M381">
        <f t="shared" si="268"/>
        <v>0</v>
      </c>
      <c r="N381">
        <f t="shared" si="268"/>
        <v>0</v>
      </c>
      <c r="O381">
        <f t="shared" si="268"/>
        <v>0</v>
      </c>
      <c r="P381">
        <f t="shared" si="268"/>
        <v>0</v>
      </c>
      <c r="Q381">
        <f t="shared" si="268"/>
        <v>0</v>
      </c>
      <c r="R381" t="str">
        <f t="shared" si="268"/>
        <v/>
      </c>
    </row>
    <row r="382" spans="1:18">
      <c r="A382" t="str">
        <f t="shared" ref="A382:A401" si="269">A305</f>
        <v>Manufactured</v>
      </c>
      <c r="C382" t="str">
        <f t="shared" ref="C382:R389" si="270">C305</f>
        <v>Tier1_indor2_zonl</v>
      </c>
      <c r="D382" t="str">
        <f t="shared" ref="D382:R383" si="271">D305</f>
        <v>Heatkwh</v>
      </c>
      <c r="E382" s="41">
        <f t="shared" si="271"/>
        <v>-303.10267342300324</v>
      </c>
      <c r="F382">
        <f t="shared" si="271"/>
        <v>13</v>
      </c>
      <c r="G382">
        <f t="shared" si="271"/>
        <v>0</v>
      </c>
      <c r="H382">
        <f t="shared" si="271"/>
        <v>0</v>
      </c>
      <c r="I382" t="str">
        <f t="shared" si="271"/>
        <v>ResSpHtBBZ1</v>
      </c>
      <c r="J382">
        <f t="shared" si="271"/>
        <v>-3.0584943802000648</v>
      </c>
      <c r="K382">
        <f t="shared" si="271"/>
        <v>0</v>
      </c>
      <c r="L382">
        <f t="shared" si="271"/>
        <v>0</v>
      </c>
      <c r="M382">
        <f t="shared" si="271"/>
        <v>0</v>
      </c>
      <c r="N382">
        <f t="shared" si="271"/>
        <v>0</v>
      </c>
      <c r="O382">
        <f t="shared" si="271"/>
        <v>0</v>
      </c>
      <c r="P382">
        <f t="shared" si="271"/>
        <v>0</v>
      </c>
      <c r="Q382">
        <f t="shared" si="271"/>
        <v>-0.55017463396988797</v>
      </c>
      <c r="R382" t="str">
        <f t="shared" si="271"/>
        <v>ResSpHtBBZ1</v>
      </c>
    </row>
    <row r="383" spans="1:18">
      <c r="A383" t="str">
        <f t="shared" si="269"/>
        <v>Manufactured</v>
      </c>
      <c r="C383" t="str">
        <f t="shared" si="270"/>
        <v>Tier1_indor2_zonl</v>
      </c>
      <c r="D383" t="str">
        <f t="shared" si="271"/>
        <v>Coolkwh</v>
      </c>
      <c r="E383" s="41">
        <f t="shared" si="271"/>
        <v>0</v>
      </c>
      <c r="F383">
        <f t="shared" si="271"/>
        <v>13</v>
      </c>
      <c r="G383">
        <f t="shared" si="271"/>
        <v>0</v>
      </c>
      <c r="H383">
        <f t="shared" si="271"/>
        <v>0</v>
      </c>
      <c r="I383" t="str">
        <f t="shared" si="271"/>
        <v>ResCACPNW</v>
      </c>
      <c r="J383">
        <f t="shared" si="271"/>
        <v>-3.0584943802000648</v>
      </c>
      <c r="K383">
        <f t="shared" si="271"/>
        <v>0</v>
      </c>
      <c r="L383">
        <f t="shared" si="271"/>
        <v>0</v>
      </c>
      <c r="M383">
        <f t="shared" si="271"/>
        <v>0</v>
      </c>
      <c r="N383">
        <f t="shared" si="271"/>
        <v>0</v>
      </c>
      <c r="O383">
        <f t="shared" si="271"/>
        <v>0</v>
      </c>
      <c r="P383">
        <f t="shared" si="271"/>
        <v>0</v>
      </c>
      <c r="Q383">
        <f t="shared" si="271"/>
        <v>0</v>
      </c>
      <c r="R383" t="str">
        <f t="shared" si="271"/>
        <v/>
      </c>
    </row>
    <row r="384" spans="1:18">
      <c r="A384" t="str">
        <f t="shared" si="269"/>
        <v>Manufactured</v>
      </c>
      <c r="C384" t="s">
        <v>470</v>
      </c>
      <c r="D384" t="str">
        <f t="shared" si="270"/>
        <v>DHWkwh</v>
      </c>
      <c r="E384" s="41">
        <f t="shared" si="270"/>
        <v>295.29410496999685</v>
      </c>
      <c r="F384">
        <f t="shared" si="270"/>
        <v>13</v>
      </c>
      <c r="G384">
        <f t="shared" si="270"/>
        <v>1183.5005381933265</v>
      </c>
      <c r="H384">
        <f t="shared" si="270"/>
        <v>0</v>
      </c>
      <c r="I384" t="str">
        <f t="shared" si="270"/>
        <v>ResDHW</v>
      </c>
      <c r="J384">
        <f t="shared" si="270"/>
        <v>0</v>
      </c>
      <c r="K384">
        <f t="shared" si="270"/>
        <v>0</v>
      </c>
      <c r="L384">
        <f t="shared" si="270"/>
        <v>0</v>
      </c>
      <c r="M384">
        <f t="shared" si="270"/>
        <v>0</v>
      </c>
      <c r="N384">
        <f t="shared" si="270"/>
        <v>0</v>
      </c>
      <c r="O384">
        <f t="shared" si="270"/>
        <v>0</v>
      </c>
      <c r="P384">
        <f t="shared" si="270"/>
        <v>0</v>
      </c>
      <c r="Q384">
        <f t="shared" si="270"/>
        <v>0</v>
      </c>
      <c r="R384" t="str">
        <f t="shared" si="270"/>
        <v/>
      </c>
    </row>
    <row r="385" spans="1:18">
      <c r="A385" t="str">
        <f t="shared" si="269"/>
        <v>Manufactured</v>
      </c>
      <c r="C385" t="s">
        <v>470</v>
      </c>
      <c r="D385" t="str">
        <f t="shared" si="270"/>
        <v>Heatkwh</v>
      </c>
      <c r="E385" s="41">
        <f t="shared" si="270"/>
        <v>0</v>
      </c>
      <c r="F385">
        <f t="shared" si="270"/>
        <v>13</v>
      </c>
      <c r="G385">
        <f t="shared" si="270"/>
        <v>0</v>
      </c>
      <c r="H385">
        <f t="shared" si="270"/>
        <v>0</v>
      </c>
      <c r="I385" t="str">
        <f t="shared" si="270"/>
        <v>ResSpHtFAFZ1</v>
      </c>
      <c r="J385">
        <f t="shared" si="270"/>
        <v>0</v>
      </c>
      <c r="K385">
        <f t="shared" si="270"/>
        <v>0</v>
      </c>
      <c r="L385">
        <f t="shared" si="270"/>
        <v>0</v>
      </c>
      <c r="M385">
        <f t="shared" si="270"/>
        <v>0</v>
      </c>
      <c r="N385">
        <f t="shared" si="270"/>
        <v>0</v>
      </c>
      <c r="O385">
        <f t="shared" si="270"/>
        <v>0</v>
      </c>
      <c r="P385">
        <f t="shared" si="270"/>
        <v>0</v>
      </c>
      <c r="Q385">
        <f t="shared" si="270"/>
        <v>0</v>
      </c>
      <c r="R385" t="str">
        <f t="shared" si="270"/>
        <v/>
      </c>
    </row>
    <row r="386" spans="1:18">
      <c r="A386" t="str">
        <f t="shared" si="269"/>
        <v>Manufactured</v>
      </c>
      <c r="C386" t="s">
        <v>470</v>
      </c>
      <c r="D386" t="str">
        <f t="shared" si="270"/>
        <v>Coolkwh</v>
      </c>
      <c r="E386" s="41">
        <f t="shared" si="270"/>
        <v>0</v>
      </c>
      <c r="F386">
        <f t="shared" si="270"/>
        <v>13</v>
      </c>
      <c r="G386">
        <f t="shared" si="270"/>
        <v>0</v>
      </c>
      <c r="H386">
        <f t="shared" si="270"/>
        <v>0</v>
      </c>
      <c r="I386" t="str">
        <f t="shared" si="270"/>
        <v>ResCACPNW</v>
      </c>
      <c r="J386">
        <f t="shared" si="270"/>
        <v>0</v>
      </c>
      <c r="K386">
        <f t="shared" si="270"/>
        <v>0</v>
      </c>
      <c r="L386">
        <f t="shared" si="270"/>
        <v>0</v>
      </c>
      <c r="M386">
        <f t="shared" si="270"/>
        <v>0</v>
      </c>
      <c r="N386">
        <f t="shared" si="270"/>
        <v>0</v>
      </c>
      <c r="O386">
        <f t="shared" si="270"/>
        <v>0</v>
      </c>
      <c r="P386">
        <f t="shared" si="270"/>
        <v>0</v>
      </c>
      <c r="Q386">
        <f t="shared" si="270"/>
        <v>0</v>
      </c>
      <c r="R386" t="str">
        <f t="shared" si="270"/>
        <v/>
      </c>
    </row>
    <row r="387" spans="1:18">
      <c r="A387" t="str">
        <f t="shared" si="269"/>
        <v>Manufactured</v>
      </c>
      <c r="C387" t="str">
        <f t="shared" si="270"/>
        <v>Tier2_indor2_gfnc</v>
      </c>
      <c r="D387" t="str">
        <f t="shared" si="270"/>
        <v>DHWkwh</v>
      </c>
      <c r="E387" s="41">
        <f t="shared" si="270"/>
        <v>83.314555641672925</v>
      </c>
      <c r="F387">
        <f t="shared" si="270"/>
        <v>13</v>
      </c>
      <c r="G387">
        <f t="shared" si="270"/>
        <v>1183.5005381933265</v>
      </c>
      <c r="H387">
        <f t="shared" si="270"/>
        <v>0</v>
      </c>
      <c r="I387" t="str">
        <f t="shared" si="270"/>
        <v>ResDHW</v>
      </c>
      <c r="J387">
        <f t="shared" si="270"/>
        <v>-0.84882475063995111</v>
      </c>
      <c r="K387">
        <f t="shared" si="270"/>
        <v>0</v>
      </c>
      <c r="L387">
        <f t="shared" si="270"/>
        <v>0</v>
      </c>
      <c r="M387">
        <f t="shared" si="270"/>
        <v>0</v>
      </c>
      <c r="N387">
        <f t="shared" si="270"/>
        <v>0</v>
      </c>
      <c r="O387">
        <f t="shared" si="270"/>
        <v>0</v>
      </c>
      <c r="P387">
        <f t="shared" si="270"/>
        <v>0</v>
      </c>
      <c r="Q387">
        <f t="shared" si="270"/>
        <v>0</v>
      </c>
      <c r="R387" t="str">
        <f t="shared" si="270"/>
        <v/>
      </c>
    </row>
    <row r="388" spans="1:18">
      <c r="A388" t="str">
        <f t="shared" si="269"/>
        <v>Manufactured</v>
      </c>
      <c r="C388" t="str">
        <f t="shared" si="270"/>
        <v>Tier2_indor2_gfnc</v>
      </c>
      <c r="D388" t="str">
        <f t="shared" si="270"/>
        <v>Heatkwh</v>
      </c>
      <c r="E388" s="41">
        <f t="shared" si="270"/>
        <v>-2.2637514832828005</v>
      </c>
      <c r="F388">
        <f t="shared" si="270"/>
        <v>13</v>
      </c>
      <c r="G388">
        <f t="shared" si="270"/>
        <v>0</v>
      </c>
      <c r="H388">
        <f t="shared" si="270"/>
        <v>0</v>
      </c>
      <c r="I388" t="str">
        <f t="shared" si="270"/>
        <v>ResSpHtFAFZ1</v>
      </c>
      <c r="J388">
        <f t="shared" si="270"/>
        <v>-0.84882475063995111</v>
      </c>
      <c r="K388">
        <f t="shared" si="270"/>
        <v>0</v>
      </c>
      <c r="L388">
        <f t="shared" si="270"/>
        <v>0</v>
      </c>
      <c r="M388">
        <f t="shared" si="270"/>
        <v>0</v>
      </c>
      <c r="N388">
        <f t="shared" si="270"/>
        <v>0</v>
      </c>
      <c r="O388">
        <f t="shared" si="270"/>
        <v>0</v>
      </c>
      <c r="P388">
        <f t="shared" si="270"/>
        <v>0</v>
      </c>
      <c r="Q388">
        <f t="shared" si="270"/>
        <v>-3.2805277823109287</v>
      </c>
      <c r="R388" t="str">
        <f t="shared" si="270"/>
        <v>ResSpHtFAFZ1</v>
      </c>
    </row>
    <row r="389" spans="1:18">
      <c r="A389" t="str">
        <f t="shared" si="269"/>
        <v>Manufactured</v>
      </c>
      <c r="C389" t="str">
        <f t="shared" si="270"/>
        <v>Tier2_indor2_gfnc</v>
      </c>
      <c r="D389" t="str">
        <f t="shared" si="270"/>
        <v>Coolkwh</v>
      </c>
      <c r="E389" s="41">
        <f t="shared" si="270"/>
        <v>0</v>
      </c>
      <c r="F389">
        <f t="shared" si="270"/>
        <v>13</v>
      </c>
      <c r="G389">
        <f t="shared" si="270"/>
        <v>0</v>
      </c>
      <c r="H389">
        <f t="shared" si="270"/>
        <v>0</v>
      </c>
      <c r="I389" t="str">
        <f t="shared" si="270"/>
        <v>ResCACPNW</v>
      </c>
      <c r="J389">
        <f t="shared" si="270"/>
        <v>-0.84882475063995111</v>
      </c>
      <c r="K389">
        <f t="shared" si="270"/>
        <v>0</v>
      </c>
      <c r="L389">
        <f t="shared" si="270"/>
        <v>0</v>
      </c>
      <c r="M389">
        <f t="shared" si="270"/>
        <v>0</v>
      </c>
      <c r="N389">
        <f t="shared" si="270"/>
        <v>0</v>
      </c>
      <c r="O389">
        <f t="shared" si="270"/>
        <v>0</v>
      </c>
      <c r="P389">
        <f t="shared" si="270"/>
        <v>0</v>
      </c>
      <c r="Q389">
        <f t="shared" si="270"/>
        <v>0</v>
      </c>
      <c r="R389" t="str">
        <f t="shared" si="270"/>
        <v/>
      </c>
    </row>
    <row r="390" spans="1:18">
      <c r="A390" t="str">
        <f t="shared" si="269"/>
        <v>Manufactured</v>
      </c>
      <c r="C390" t="str">
        <f t="shared" ref="C390:R390" si="272">C313</f>
        <v>Tier2_indor2_gfac</v>
      </c>
      <c r="D390" t="str">
        <f t="shared" si="272"/>
        <v>DHWkwh</v>
      </c>
      <c r="E390" s="41">
        <f t="shared" si="272"/>
        <v>89.057413754093687</v>
      </c>
      <c r="F390">
        <f t="shared" si="272"/>
        <v>13</v>
      </c>
      <c r="G390">
        <f t="shared" si="272"/>
        <v>1183.5005381933265</v>
      </c>
      <c r="H390">
        <f t="shared" si="272"/>
        <v>0</v>
      </c>
      <c r="I390" t="str">
        <f t="shared" si="272"/>
        <v>ResDHW</v>
      </c>
      <c r="J390">
        <f t="shared" si="272"/>
        <v>-0.86520382626390335</v>
      </c>
      <c r="K390">
        <f t="shared" si="272"/>
        <v>0</v>
      </c>
      <c r="L390">
        <f t="shared" si="272"/>
        <v>0</v>
      </c>
      <c r="M390">
        <f t="shared" si="272"/>
        <v>0</v>
      </c>
      <c r="N390">
        <f t="shared" si="272"/>
        <v>0</v>
      </c>
      <c r="O390">
        <f t="shared" si="272"/>
        <v>0</v>
      </c>
      <c r="P390">
        <f t="shared" si="272"/>
        <v>0</v>
      </c>
      <c r="Q390">
        <f t="shared" si="272"/>
        <v>0</v>
      </c>
      <c r="R390" t="str">
        <f t="shared" si="272"/>
        <v/>
      </c>
    </row>
    <row r="391" spans="1:18">
      <c r="A391" t="str">
        <f t="shared" si="269"/>
        <v>Manufactured</v>
      </c>
      <c r="C391" t="str">
        <f t="shared" ref="C391:R391" si="273">C314</f>
        <v>Tier2_indor2_gfac</v>
      </c>
      <c r="D391" t="str">
        <f t="shared" si="273"/>
        <v>Heatkwh</v>
      </c>
      <c r="E391" s="41">
        <f t="shared" si="273"/>
        <v>-2.477359795878221</v>
      </c>
      <c r="F391">
        <f t="shared" si="273"/>
        <v>13</v>
      </c>
      <c r="G391">
        <f t="shared" si="273"/>
        <v>0</v>
      </c>
      <c r="H391">
        <f t="shared" si="273"/>
        <v>0</v>
      </c>
      <c r="I391" t="str">
        <f t="shared" si="273"/>
        <v>ResSpHtFAFZ1</v>
      </c>
      <c r="J391">
        <f t="shared" si="273"/>
        <v>-0.86520382626390335</v>
      </c>
      <c r="K391">
        <f t="shared" si="273"/>
        <v>0</v>
      </c>
      <c r="L391">
        <f t="shared" si="273"/>
        <v>0</v>
      </c>
      <c r="M391">
        <f t="shared" si="273"/>
        <v>0</v>
      </c>
      <c r="N391">
        <f t="shared" si="273"/>
        <v>0</v>
      </c>
      <c r="O391">
        <f t="shared" si="273"/>
        <v>0</v>
      </c>
      <c r="P391">
        <f t="shared" si="273"/>
        <v>0</v>
      </c>
      <c r="Q391">
        <f t="shared" si="273"/>
        <v>-3.3370468367574389</v>
      </c>
      <c r="R391" t="str">
        <f t="shared" si="273"/>
        <v>ResSpHtFAFZ1</v>
      </c>
    </row>
    <row r="392" spans="1:18">
      <c r="A392" t="str">
        <f t="shared" si="269"/>
        <v>Manufactured</v>
      </c>
      <c r="C392" t="str">
        <f t="shared" ref="C392:R392" si="274">C315</f>
        <v>Tier2_indor2_gfac</v>
      </c>
      <c r="D392" t="str">
        <f t="shared" si="274"/>
        <v>Coolkwh</v>
      </c>
      <c r="E392" s="41">
        <f t="shared" si="274"/>
        <v>-4.6863626022599112</v>
      </c>
      <c r="F392">
        <f t="shared" si="274"/>
        <v>13</v>
      </c>
      <c r="G392">
        <f t="shared" si="274"/>
        <v>0</v>
      </c>
      <c r="H392">
        <f t="shared" si="274"/>
        <v>0</v>
      </c>
      <c r="I392" t="str">
        <f t="shared" si="274"/>
        <v>ResCACPNW</v>
      </c>
      <c r="J392">
        <f t="shared" si="274"/>
        <v>-0.86520382626390335</v>
      </c>
      <c r="K392">
        <f t="shared" si="274"/>
        <v>0</v>
      </c>
      <c r="L392">
        <f t="shared" si="274"/>
        <v>0</v>
      </c>
      <c r="M392">
        <f t="shared" si="274"/>
        <v>0</v>
      </c>
      <c r="N392">
        <f t="shared" si="274"/>
        <v>0</v>
      </c>
      <c r="O392">
        <f t="shared" si="274"/>
        <v>0</v>
      </c>
      <c r="P392">
        <f t="shared" si="274"/>
        <v>0</v>
      </c>
      <c r="Q392">
        <f t="shared" si="274"/>
        <v>0</v>
      </c>
      <c r="R392" t="str">
        <f t="shared" si="274"/>
        <v/>
      </c>
    </row>
    <row r="393" spans="1:18">
      <c r="A393" t="str">
        <f t="shared" si="269"/>
        <v>Manufactured</v>
      </c>
      <c r="C393" t="str">
        <f t="shared" ref="C393:R393" si="275">C316</f>
        <v>Tier2_indor2_efaf</v>
      </c>
      <c r="D393" t="str">
        <f t="shared" si="275"/>
        <v>DHWkwh</v>
      </c>
      <c r="E393" s="41">
        <f t="shared" si="275"/>
        <v>83.314555641672925</v>
      </c>
      <c r="F393">
        <f t="shared" si="275"/>
        <v>13</v>
      </c>
      <c r="G393">
        <f t="shared" si="275"/>
        <v>1183.5005381933265</v>
      </c>
      <c r="H393">
        <f t="shared" si="275"/>
        <v>0</v>
      </c>
      <c r="I393" t="str">
        <f t="shared" si="275"/>
        <v>ResDHW</v>
      </c>
      <c r="J393">
        <f t="shared" si="275"/>
        <v>-0.59843555031109164</v>
      </c>
      <c r="K393">
        <f t="shared" si="275"/>
        <v>0</v>
      </c>
      <c r="L393">
        <f t="shared" si="275"/>
        <v>0</v>
      </c>
      <c r="M393">
        <f t="shared" si="275"/>
        <v>0</v>
      </c>
      <c r="N393">
        <f t="shared" si="275"/>
        <v>0</v>
      </c>
      <c r="O393">
        <f t="shared" si="275"/>
        <v>0</v>
      </c>
      <c r="P393">
        <f t="shared" si="275"/>
        <v>0</v>
      </c>
      <c r="Q393">
        <f t="shared" si="275"/>
        <v>0</v>
      </c>
      <c r="R393" t="str">
        <f t="shared" si="275"/>
        <v/>
      </c>
    </row>
    <row r="394" spans="1:18">
      <c r="A394" t="str">
        <f t="shared" si="269"/>
        <v>Manufactured</v>
      </c>
      <c r="C394" t="str">
        <f t="shared" ref="C394:R394" si="276">C317</f>
        <v>Tier2_indor2_efaf</v>
      </c>
      <c r="D394" t="str">
        <f t="shared" si="276"/>
        <v>Heatkwh</v>
      </c>
      <c r="E394" s="41">
        <f t="shared" si="276"/>
        <v>-59.309250809255715</v>
      </c>
      <c r="F394">
        <f t="shared" si="276"/>
        <v>13</v>
      </c>
      <c r="G394">
        <f t="shared" si="276"/>
        <v>0</v>
      </c>
      <c r="H394">
        <f t="shared" si="276"/>
        <v>0</v>
      </c>
      <c r="I394" t="str">
        <f t="shared" si="276"/>
        <v>ResSpHtFAFZ1</v>
      </c>
      <c r="J394">
        <f t="shared" si="276"/>
        <v>-0.59843555031109164</v>
      </c>
      <c r="K394">
        <f t="shared" si="276"/>
        <v>0</v>
      </c>
      <c r="L394">
        <f t="shared" si="276"/>
        <v>0</v>
      </c>
      <c r="M394">
        <f t="shared" si="276"/>
        <v>0</v>
      </c>
      <c r="N394">
        <f t="shared" si="276"/>
        <v>0</v>
      </c>
      <c r="O394">
        <f t="shared" si="276"/>
        <v>0</v>
      </c>
      <c r="P394">
        <f t="shared" si="276"/>
        <v>0</v>
      </c>
      <c r="Q394">
        <f t="shared" si="276"/>
        <v>-0.10736797974600408</v>
      </c>
      <c r="R394" t="str">
        <f t="shared" si="276"/>
        <v>ResSpHtFAFZ1</v>
      </c>
    </row>
    <row r="395" spans="1:18">
      <c r="A395" t="str">
        <f t="shared" si="269"/>
        <v>Manufactured</v>
      </c>
      <c r="C395" t="str">
        <f t="shared" ref="C395:R395" si="277">C318</f>
        <v>Tier2_indor2_efaf</v>
      </c>
      <c r="D395" t="str">
        <f t="shared" si="277"/>
        <v>Coolkwh</v>
      </c>
      <c r="E395" s="41">
        <f t="shared" si="277"/>
        <v>0</v>
      </c>
      <c r="F395">
        <f t="shared" si="277"/>
        <v>13</v>
      </c>
      <c r="G395">
        <f t="shared" si="277"/>
        <v>0</v>
      </c>
      <c r="H395">
        <f t="shared" si="277"/>
        <v>0</v>
      </c>
      <c r="I395" t="str">
        <f t="shared" si="277"/>
        <v>ResCACPNW</v>
      </c>
      <c r="J395">
        <f t="shared" si="277"/>
        <v>-0.59843555031109164</v>
      </c>
      <c r="K395">
        <f t="shared" si="277"/>
        <v>0</v>
      </c>
      <c r="L395">
        <f t="shared" si="277"/>
        <v>0</v>
      </c>
      <c r="M395">
        <f t="shared" si="277"/>
        <v>0</v>
      </c>
      <c r="N395">
        <f t="shared" si="277"/>
        <v>0</v>
      </c>
      <c r="O395">
        <f t="shared" si="277"/>
        <v>0</v>
      </c>
      <c r="P395">
        <f t="shared" si="277"/>
        <v>0</v>
      </c>
      <c r="Q395">
        <f t="shared" si="277"/>
        <v>0</v>
      </c>
      <c r="R395" t="str">
        <f t="shared" si="277"/>
        <v/>
      </c>
    </row>
    <row r="396" spans="1:18">
      <c r="A396" t="str">
        <f t="shared" si="269"/>
        <v>Manufactured</v>
      </c>
      <c r="C396" t="str">
        <f t="shared" ref="C396:R396" si="278">C319</f>
        <v>Tier2_indor2_hp85</v>
      </c>
      <c r="D396" t="str">
        <f t="shared" si="278"/>
        <v>DHWkwh</v>
      </c>
      <c r="E396" s="41">
        <f t="shared" si="278"/>
        <v>89.067288335771607</v>
      </c>
      <c r="F396">
        <f t="shared" si="278"/>
        <v>13</v>
      </c>
      <c r="G396">
        <f t="shared" si="278"/>
        <v>1183.5005381933265</v>
      </c>
      <c r="H396">
        <f t="shared" si="278"/>
        <v>0</v>
      </c>
      <c r="I396" t="str">
        <f t="shared" si="278"/>
        <v>ResDHW</v>
      </c>
      <c r="J396">
        <f t="shared" si="278"/>
        <v>-0.38085603775483751</v>
      </c>
      <c r="K396">
        <f t="shared" si="278"/>
        <v>0</v>
      </c>
      <c r="L396">
        <f t="shared" si="278"/>
        <v>0</v>
      </c>
      <c r="M396">
        <f t="shared" si="278"/>
        <v>0</v>
      </c>
      <c r="N396">
        <f t="shared" si="278"/>
        <v>0</v>
      </c>
      <c r="O396">
        <f t="shared" si="278"/>
        <v>0</v>
      </c>
      <c r="P396">
        <f t="shared" si="278"/>
        <v>0</v>
      </c>
      <c r="Q396">
        <f t="shared" si="278"/>
        <v>0</v>
      </c>
      <c r="R396" t="str">
        <f t="shared" si="278"/>
        <v/>
      </c>
    </row>
    <row r="397" spans="1:18">
      <c r="A397" t="str">
        <f t="shared" si="269"/>
        <v>Manufactured</v>
      </c>
      <c r="C397" t="str">
        <f t="shared" ref="C397:R397" si="279">C320</f>
        <v>Tier2_indor2_hp85</v>
      </c>
      <c r="D397" t="str">
        <f t="shared" si="279"/>
        <v>Heatkwh</v>
      </c>
      <c r="E397" s="41">
        <f t="shared" si="279"/>
        <v>-37.798559991420248</v>
      </c>
      <c r="F397">
        <f t="shared" si="279"/>
        <v>13</v>
      </c>
      <c r="G397">
        <f t="shared" si="279"/>
        <v>0</v>
      </c>
      <c r="H397">
        <f t="shared" si="279"/>
        <v>0</v>
      </c>
      <c r="I397" t="str">
        <f t="shared" si="279"/>
        <v>ResSpHtHPZ1</v>
      </c>
      <c r="J397">
        <f t="shared" si="279"/>
        <v>-0.38085603775483751</v>
      </c>
      <c r="K397">
        <f t="shared" si="279"/>
        <v>0</v>
      </c>
      <c r="L397">
        <f t="shared" si="279"/>
        <v>0</v>
      </c>
      <c r="M397">
        <f t="shared" si="279"/>
        <v>0</v>
      </c>
      <c r="N397">
        <f t="shared" si="279"/>
        <v>0</v>
      </c>
      <c r="O397">
        <f t="shared" si="279"/>
        <v>0</v>
      </c>
      <c r="P397">
        <f t="shared" si="279"/>
        <v>0</v>
      </c>
      <c r="Q397">
        <f t="shared" si="279"/>
        <v>-6.3582610676235357E-2</v>
      </c>
      <c r="R397" t="str">
        <f t="shared" si="279"/>
        <v>ResSpHtHPZ1</v>
      </c>
    </row>
    <row r="398" spans="1:18">
      <c r="A398" t="str">
        <f t="shared" si="269"/>
        <v>Manufactured</v>
      </c>
      <c r="C398" t="str">
        <f t="shared" ref="C398:R398" si="280">C321</f>
        <v>Tier2_indor2_hp85</v>
      </c>
      <c r="D398" t="str">
        <f t="shared" si="280"/>
        <v>Coolkwh</v>
      </c>
      <c r="E398" s="41">
        <f t="shared" si="280"/>
        <v>-4.6926115042254066</v>
      </c>
      <c r="F398">
        <f t="shared" si="280"/>
        <v>13</v>
      </c>
      <c r="G398">
        <f t="shared" si="280"/>
        <v>0</v>
      </c>
      <c r="H398">
        <f t="shared" si="280"/>
        <v>0</v>
      </c>
      <c r="I398" t="str">
        <f t="shared" si="280"/>
        <v>ResCACPNW</v>
      </c>
      <c r="J398">
        <f t="shared" si="280"/>
        <v>-0.38085603775483751</v>
      </c>
      <c r="K398">
        <f t="shared" si="280"/>
        <v>0</v>
      </c>
      <c r="L398">
        <f t="shared" si="280"/>
        <v>0</v>
      </c>
      <c r="M398">
        <f t="shared" si="280"/>
        <v>0</v>
      </c>
      <c r="N398">
        <f t="shared" si="280"/>
        <v>0</v>
      </c>
      <c r="O398">
        <f t="shared" si="280"/>
        <v>0</v>
      </c>
      <c r="P398">
        <f t="shared" si="280"/>
        <v>0</v>
      </c>
      <c r="Q398">
        <f t="shared" si="280"/>
        <v>0</v>
      </c>
      <c r="R398" t="str">
        <f t="shared" si="280"/>
        <v/>
      </c>
    </row>
    <row r="399" spans="1:18">
      <c r="A399" t="str">
        <f t="shared" si="269"/>
        <v>Manufactured</v>
      </c>
      <c r="C399" t="str">
        <f t="shared" ref="C399:R399" si="281">C322</f>
        <v>Tier2_indor2_zonl</v>
      </c>
      <c r="D399" t="str">
        <f t="shared" si="281"/>
        <v>DHWkwh</v>
      </c>
      <c r="E399" s="41">
        <f t="shared" si="281"/>
        <v>83.315518898270511</v>
      </c>
      <c r="F399">
        <f t="shared" si="281"/>
        <v>13</v>
      </c>
      <c r="G399">
        <f t="shared" si="281"/>
        <v>1183.5005381933265</v>
      </c>
      <c r="H399">
        <f t="shared" si="281"/>
        <v>0</v>
      </c>
      <c r="I399" t="str">
        <f t="shared" si="281"/>
        <v>ResDHW</v>
      </c>
      <c r="J399">
        <f t="shared" si="281"/>
        <v>-0.53073712762676406</v>
      </c>
      <c r="K399">
        <f t="shared" si="281"/>
        <v>0</v>
      </c>
      <c r="L399">
        <f t="shared" si="281"/>
        <v>0</v>
      </c>
      <c r="M399">
        <f t="shared" si="281"/>
        <v>0</v>
      </c>
      <c r="N399">
        <f t="shared" si="281"/>
        <v>0</v>
      </c>
      <c r="O399">
        <f t="shared" si="281"/>
        <v>0</v>
      </c>
      <c r="P399">
        <f t="shared" si="281"/>
        <v>0</v>
      </c>
      <c r="Q399">
        <f t="shared" si="281"/>
        <v>0</v>
      </c>
      <c r="R399" t="str">
        <f t="shared" si="281"/>
        <v/>
      </c>
    </row>
    <row r="400" spans="1:18">
      <c r="A400" t="str">
        <f t="shared" si="269"/>
        <v>Manufactured</v>
      </c>
      <c r="C400" t="str">
        <f t="shared" ref="C400:R400" si="282">C323</f>
        <v>Tier2_indor2_zonl</v>
      </c>
      <c r="D400" t="str">
        <f t="shared" si="282"/>
        <v>Heatkwh</v>
      </c>
      <c r="E400" s="41">
        <f t="shared" si="282"/>
        <v>-52.599092392966213</v>
      </c>
      <c r="F400">
        <f t="shared" si="282"/>
        <v>13</v>
      </c>
      <c r="G400">
        <f t="shared" si="282"/>
        <v>0</v>
      </c>
      <c r="H400">
        <f t="shared" si="282"/>
        <v>0</v>
      </c>
      <c r="I400" t="str">
        <f t="shared" si="282"/>
        <v>ResSpHtBBZ1</v>
      </c>
      <c r="J400">
        <f t="shared" si="282"/>
        <v>-0.53073712762676406</v>
      </c>
      <c r="K400">
        <f t="shared" si="282"/>
        <v>0</v>
      </c>
      <c r="L400">
        <f t="shared" si="282"/>
        <v>0</v>
      </c>
      <c r="M400">
        <f t="shared" si="282"/>
        <v>0</v>
      </c>
      <c r="N400">
        <f t="shared" si="282"/>
        <v>0</v>
      </c>
      <c r="O400">
        <f t="shared" si="282"/>
        <v>0</v>
      </c>
      <c r="P400">
        <f t="shared" si="282"/>
        <v>0</v>
      </c>
      <c r="Q400">
        <f t="shared" si="282"/>
        <v>-9.5289969558249615E-2</v>
      </c>
      <c r="R400" t="str">
        <f t="shared" si="282"/>
        <v>ResSpHtBBZ1</v>
      </c>
    </row>
    <row r="401" spans="1:18">
      <c r="A401" t="str">
        <f t="shared" si="269"/>
        <v>Manufactured</v>
      </c>
      <c r="C401" t="str">
        <f t="shared" ref="C401:R401" si="283">C324</f>
        <v>Tier2_indor2_zonl</v>
      </c>
      <c r="D401" t="str">
        <f t="shared" si="283"/>
        <v>Coolkwh</v>
      </c>
      <c r="E401" s="41">
        <f t="shared" si="283"/>
        <v>0</v>
      </c>
      <c r="F401">
        <f t="shared" si="283"/>
        <v>13</v>
      </c>
      <c r="G401">
        <f t="shared" si="283"/>
        <v>0</v>
      </c>
      <c r="H401">
        <f t="shared" si="283"/>
        <v>0</v>
      </c>
      <c r="I401" t="str">
        <f t="shared" si="283"/>
        <v>ResCACPNW</v>
      </c>
      <c r="J401">
        <f t="shared" si="283"/>
        <v>-0.53073712762676406</v>
      </c>
      <c r="K401">
        <f t="shared" si="283"/>
        <v>0</v>
      </c>
      <c r="L401">
        <f t="shared" si="283"/>
        <v>0</v>
      </c>
      <c r="M401">
        <f t="shared" si="283"/>
        <v>0</v>
      </c>
      <c r="N401">
        <f t="shared" si="283"/>
        <v>0</v>
      </c>
      <c r="O401">
        <f t="shared" si="283"/>
        <v>0</v>
      </c>
      <c r="P401">
        <f t="shared" si="283"/>
        <v>0</v>
      </c>
      <c r="Q401">
        <f t="shared" si="283"/>
        <v>0</v>
      </c>
      <c r="R401" t="str">
        <f t="shared" si="283"/>
        <v/>
      </c>
    </row>
  </sheetData>
  <mergeCells count="9">
    <mergeCell ref="C328:J328"/>
    <mergeCell ref="K328:P328"/>
    <mergeCell ref="Q328:R328"/>
    <mergeCell ref="K4:P4"/>
    <mergeCell ref="Q4:R4"/>
    <mergeCell ref="C4:J4"/>
    <mergeCell ref="C245:J245"/>
    <mergeCell ref="K245:P245"/>
    <mergeCell ref="Q245:R24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7PSourceSummary</vt:lpstr>
      <vt:lpstr>forRPM</vt:lpstr>
      <vt:lpstr>SC-New</vt:lpstr>
      <vt:lpstr>SC-NR</vt:lpstr>
      <vt:lpstr>accomplishments</vt:lpstr>
      <vt:lpstr>HVAC weighting</vt:lpstr>
      <vt:lpstr>M_Input_Out</vt:lpstr>
      <vt:lpstr>M_Input</vt:lpstr>
      <vt:lpstr>Segmented</vt:lpstr>
      <vt:lpstr>weighting</vt:lpstr>
      <vt:lpstr>Composite</vt:lpstr>
      <vt:lpstr>Raw</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2015-03-12T23:13:28Z</dcterms:modified>
</cp:coreProperties>
</file>